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Adi1">'Hoja1'!#REF!</definedName>
    <definedName name="Adic1">'Hoja1'!$K$42</definedName>
    <definedName name="Adic2">'Hoja1'!$K$43</definedName>
    <definedName name="Adic3">'Hoja1'!$K$44</definedName>
    <definedName name="_xlnm.Print_Area" localSheetId="0">'Hoja1'!$B$10:$L$55</definedName>
    <definedName name="DO">'Hoja1'!#REF!</definedName>
    <definedName name="Evaphor">'Hoja1'!$F$4</definedName>
    <definedName name="litrosfinales">'Hoja1'!$O$1</definedName>
    <definedName name="litrosmosto">'Hoja1'!$E$33</definedName>
  </definedNames>
  <calcPr fullCalcOnLoad="1"/>
</workbook>
</file>

<file path=xl/comments1.xml><?xml version="1.0" encoding="utf-8"?>
<comments xmlns="http://schemas.openxmlformats.org/spreadsheetml/2006/main">
  <authors>
    <author>Vogrig</author>
  </authors>
  <commentList>
    <comment ref="K23" authorId="0">
      <text>
        <r>
          <rPr>
            <b/>
            <sz val="8"/>
            <rFont val="Tahoma"/>
            <family val="0"/>
          </rPr>
          <t>Volumen aproximado que ocupará el empaste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Es un valor  para tomar como referencia, al mismo se le puede agregar o quitar valor, si consideras que tu rendimiento es  distinto, lo modificas en la celda de bajo
El mismo lo tomamos, basándonos en la relación extracto y peso del grano total</t>
        </r>
        <r>
          <rPr>
            <sz val="8"/>
            <rFont val="Tahoma"/>
            <family val="0"/>
          </rPr>
          <t xml:space="preserve">
</t>
        </r>
      </text>
    </comment>
    <comment ref="N33" authorId="0">
      <text>
        <r>
          <rPr>
            <b/>
            <sz val="8"/>
            <rFont val="Tahoma"/>
            <family val="0"/>
          </rPr>
          <t xml:space="preserve">Es el porcentaje sobre el extracto total que tendremos al final de la cocción
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sz val="8"/>
            <rFont val="Tahoma"/>
            <family val="2"/>
          </rPr>
          <t xml:space="preserve">Porcentaje establecido </t>
        </r>
        <r>
          <rPr>
            <sz val="8"/>
            <rFont val="Tahoma"/>
            <family val="0"/>
          </rPr>
          <t>en la receta original, que puede ser variado, es sobre el total de litros recolectados</t>
        </r>
      </text>
    </comment>
  </commentList>
</comments>
</file>

<file path=xl/sharedStrings.xml><?xml version="1.0" encoding="utf-8"?>
<sst xmlns="http://schemas.openxmlformats.org/spreadsheetml/2006/main" count="207" uniqueCount="129">
  <si>
    <t>%</t>
  </si>
  <si>
    <t>Nombre</t>
  </si>
  <si>
    <t xml:space="preserve"> </t>
  </si>
  <si>
    <t>Estilo</t>
  </si>
  <si>
    <t>Elaboración</t>
  </si>
  <si>
    <t>Tipo</t>
  </si>
  <si>
    <t>Maceración</t>
  </si>
  <si>
    <t>Tiempo</t>
  </si>
  <si>
    <t xml:space="preserve">Agregado de lúpulo </t>
  </si>
  <si>
    <t>IBU</t>
  </si>
  <si>
    <t>AA%</t>
  </si>
  <si>
    <t>min.</t>
  </si>
  <si>
    <t>en minutos</t>
  </si>
  <si>
    <t>Granos</t>
  </si>
  <si>
    <t>Fechas</t>
  </si>
  <si>
    <t>Trasvase</t>
  </si>
  <si>
    <t>Envasado</t>
  </si>
  <si>
    <t>minutos</t>
  </si>
  <si>
    <t>Parámetros</t>
  </si>
  <si>
    <t>Vitales</t>
  </si>
  <si>
    <t>IBUS</t>
  </si>
  <si>
    <t>DO</t>
  </si>
  <si>
    <t>DF</t>
  </si>
  <si>
    <t>Grad Alcohólica</t>
  </si>
  <si>
    <t>SRM</t>
  </si>
  <si>
    <t>Hervor</t>
  </si>
  <si>
    <t>Maceración simple</t>
  </si>
  <si>
    <t>Temperatura</t>
  </si>
  <si>
    <t>Maceración escalonada</t>
  </si>
  <si>
    <t>Tiempo total de hervor</t>
  </si>
  <si>
    <t>Adiciones que aportan extracto</t>
  </si>
  <si>
    <t>gramos</t>
  </si>
  <si>
    <t>Adiciones que no aportan extracto</t>
  </si>
  <si>
    <t>Agregar faltando</t>
  </si>
  <si>
    <t>Notas</t>
  </si>
  <si>
    <t>Queres repetir esta receta?, completá la siguiente tabla</t>
  </si>
  <si>
    <t>litros</t>
  </si>
  <si>
    <t>Evaporación horaria</t>
  </si>
  <si>
    <t>Rendimiento-eficiencia del equipo</t>
  </si>
  <si>
    <t>Coagulante</t>
  </si>
  <si>
    <t>Pérd. de temp. al preparar el empaste</t>
  </si>
  <si>
    <t>ºC</t>
  </si>
  <si>
    <t>Cantidad</t>
  </si>
  <si>
    <t>Total de litros</t>
  </si>
  <si>
    <t>Kilos</t>
  </si>
  <si>
    <t>Temp.</t>
  </si>
  <si>
    <t>Recirculación</t>
  </si>
  <si>
    <t xml:space="preserve">Hora de inicio </t>
  </si>
  <si>
    <t>Desde</t>
  </si>
  <si>
    <t>Hasta</t>
  </si>
  <si>
    <t>Final de Maceración</t>
  </si>
  <si>
    <t>Total</t>
  </si>
  <si>
    <t>Temperatura de lavado</t>
  </si>
  <si>
    <t>Litros de mosto</t>
  </si>
  <si>
    <t>Dens. antes del hervor</t>
  </si>
  <si>
    <t>Preparado del agua para el empaste inicial</t>
  </si>
  <si>
    <t>Litros finales</t>
  </si>
  <si>
    <t>Extrac final</t>
  </si>
  <si>
    <t xml:space="preserve">Ex. Most sin agre </t>
  </si>
  <si>
    <t>Dens. Most s/agr</t>
  </si>
  <si>
    <t>gr/litro</t>
  </si>
  <si>
    <t>Esc.</t>
  </si>
  <si>
    <t>1º</t>
  </si>
  <si>
    <t>2º</t>
  </si>
  <si>
    <t>3º</t>
  </si>
  <si>
    <t>Planilla de cocción</t>
  </si>
  <si>
    <t>Lit/kg</t>
  </si>
  <si>
    <t>Rel. empaste</t>
  </si>
  <si>
    <t>Kent Golding</t>
  </si>
  <si>
    <t>Carrag.</t>
  </si>
  <si>
    <t>Reemplazo de lúpulos</t>
  </si>
  <si>
    <t>1ª adición</t>
  </si>
  <si>
    <t>2ª adición</t>
  </si>
  <si>
    <t>3ª adición</t>
  </si>
  <si>
    <t>4ª adición</t>
  </si>
  <si>
    <t>Vol del mac.</t>
  </si>
  <si>
    <t>Camb. rel. emp</t>
  </si>
  <si>
    <t>78 ºC</t>
  </si>
  <si>
    <t>Extrac total final</t>
  </si>
  <si>
    <t>gr/l</t>
  </si>
  <si>
    <t>l</t>
  </si>
  <si>
    <t>Tiempo recirc.</t>
  </si>
  <si>
    <t>Nota sobre el Macerado</t>
  </si>
  <si>
    <t>Agua aproximada para el lavado</t>
  </si>
  <si>
    <t>Rendimiento-eficiencia estimado</t>
  </si>
  <si>
    <t>Temp. de inicio</t>
  </si>
  <si>
    <t>Temperatura aprox. que tiene el grano</t>
  </si>
  <si>
    <t>Factor de</t>
  </si>
  <si>
    <t>Corrección</t>
  </si>
  <si>
    <t>Caramelización</t>
  </si>
  <si>
    <t>Munich</t>
  </si>
  <si>
    <t>Fuggles</t>
  </si>
  <si>
    <t>Por a cara.</t>
  </si>
  <si>
    <t>Levadura utilizada para fermentar</t>
  </si>
  <si>
    <t>Temp. de ferm.</t>
  </si>
  <si>
    <t>Black Patent</t>
  </si>
  <si>
    <t>Brown Barley</t>
  </si>
  <si>
    <t>Caramel Wheat</t>
  </si>
  <si>
    <t>Caramelo 120</t>
  </si>
  <si>
    <t>Caramelo 140</t>
  </si>
  <si>
    <t>Caramelo 30</t>
  </si>
  <si>
    <t>Caramelo 60</t>
  </si>
  <si>
    <t>Cebada Tostada</t>
  </si>
  <si>
    <t>Choco Barley</t>
  </si>
  <si>
    <t>Malta  Biscuit</t>
  </si>
  <si>
    <t>Malta Ahumada</t>
  </si>
  <si>
    <t>Malta Brown</t>
  </si>
  <si>
    <t>Malta Chocolate</t>
  </si>
  <si>
    <t>Malta Pale Chocolate</t>
  </si>
  <si>
    <t>Pilsen</t>
  </si>
  <si>
    <t>Roasted Wheat</t>
  </si>
  <si>
    <t>Wheat Malt</t>
  </si>
  <si>
    <t>Superfoam</t>
  </si>
  <si>
    <t>Malta Pilsen High extrac</t>
  </si>
  <si>
    <t>Lúpulos</t>
  </si>
  <si>
    <t>Cascade</t>
  </si>
  <si>
    <t>Nugget</t>
  </si>
  <si>
    <t>Hallertauer</t>
  </si>
  <si>
    <t>Tettnanger</t>
  </si>
  <si>
    <t>Saaz</t>
  </si>
  <si>
    <t>Magnun</t>
  </si>
  <si>
    <t>Temp. en  ºC</t>
  </si>
  <si>
    <t>Tiempo en min.</t>
  </si>
  <si>
    <t>Volumen de tu olla de hervor</t>
  </si>
  <si>
    <t>23ºC</t>
  </si>
  <si>
    <t>1028 London Ale Yeast</t>
  </si>
  <si>
    <t>Bitter Premiun Galesa</t>
  </si>
  <si>
    <t>Clon de BrainsSA</t>
  </si>
  <si>
    <t>Caramunich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</si>
</sst>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d\-mmm\-yy"/>
    <numFmt numFmtId="166" formatCode="0.000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11"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164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 locked="0"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/>
    </xf>
    <xf numFmtId="166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right" vertic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166" fontId="1" fillId="2" borderId="9" xfId="0" applyNumberFormat="1" applyFont="1" applyFill="1" applyBorder="1" applyAlignment="1" applyProtection="1">
      <alignment horizontal="right" vertical="center"/>
      <protection/>
    </xf>
    <xf numFmtId="166" fontId="1" fillId="2" borderId="17" xfId="0" applyNumberFormat="1" applyFont="1" applyFill="1" applyBorder="1" applyAlignment="1" applyProtection="1">
      <alignment horizontal="right"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1" fontId="1" fillId="2" borderId="18" xfId="0" applyNumberFormat="1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1" fontId="1" fillId="2" borderId="4" xfId="0" applyNumberFormat="1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left" vertical="center"/>
      <protection/>
    </xf>
    <xf numFmtId="0" fontId="1" fillId="2" borderId="22" xfId="0" applyFont="1" applyFill="1" applyBorder="1" applyAlignment="1" applyProtection="1">
      <alignment horizontal="left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top" wrapText="1"/>
      <protection/>
    </xf>
    <xf numFmtId="164" fontId="1" fillId="2" borderId="2" xfId="0" applyNumberFormat="1" applyFont="1" applyFill="1" applyBorder="1" applyAlignment="1" applyProtection="1">
      <alignment horizontal="center"/>
      <protection/>
    </xf>
    <xf numFmtId="0" fontId="0" fillId="2" borderId="15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center" vertical="center"/>
      <protection/>
    </xf>
    <xf numFmtId="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top"/>
      <protection/>
    </xf>
    <xf numFmtId="0" fontId="1" fillId="2" borderId="0" xfId="0" applyFont="1" applyFill="1" applyBorder="1" applyAlignment="1" applyProtection="1">
      <alignment horizontal="center" vertical="center" textRotation="255"/>
      <protection/>
    </xf>
    <xf numFmtId="0" fontId="0" fillId="2" borderId="0" xfId="0" applyFill="1" applyBorder="1" applyAlignment="1" applyProtection="1">
      <alignment horizontal="justify" vertical="center" wrapText="1"/>
      <protection/>
    </xf>
    <xf numFmtId="0" fontId="0" fillId="2" borderId="18" xfId="0" applyFill="1" applyBorder="1" applyAlignment="1" applyProtection="1">
      <alignment horizontal="justify" vertical="center" wrapText="1"/>
      <protection/>
    </xf>
    <xf numFmtId="0" fontId="1" fillId="2" borderId="20" xfId="0" applyFont="1" applyFill="1" applyBorder="1" applyAlignment="1" applyProtection="1">
      <alignment horizontal="left" vertical="center"/>
      <protection/>
    </xf>
    <xf numFmtId="0" fontId="1" fillId="2" borderId="20" xfId="0" applyFont="1" applyFill="1" applyBorder="1" applyAlignment="1" applyProtection="1">
      <alignment horizontal="left"/>
      <protection/>
    </xf>
    <xf numFmtId="164" fontId="1" fillId="2" borderId="20" xfId="0" applyNumberFormat="1" applyFont="1" applyFill="1" applyBorder="1" applyAlignment="1" applyProtection="1">
      <alignment horizont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166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164" fontId="1" fillId="2" borderId="16" xfId="0" applyNumberFormat="1" applyFont="1" applyFill="1" applyBorder="1" applyAlignment="1" applyProtection="1">
      <alignment horizontal="right" vertical="center"/>
      <protection/>
    </xf>
    <xf numFmtId="0" fontId="1" fillId="2" borderId="3" xfId="0" applyFont="1" applyFill="1" applyBorder="1" applyAlignment="1" applyProtection="1">
      <alignment horizontal="left" vertical="center"/>
      <protection/>
    </xf>
    <xf numFmtId="0" fontId="1" fillId="2" borderId="27" xfId="0" applyFont="1" applyFill="1" applyBorder="1" applyAlignment="1" applyProtection="1">
      <alignment horizontal="left" vertical="center"/>
      <protection/>
    </xf>
    <xf numFmtId="0" fontId="1" fillId="2" borderId="18" xfId="0" applyFont="1" applyFill="1" applyBorder="1" applyAlignment="1" applyProtection="1">
      <alignment horizontal="left" vertical="center"/>
      <protection/>
    </xf>
    <xf numFmtId="0" fontId="1" fillId="2" borderId="18" xfId="0" applyFont="1" applyFill="1" applyBorder="1" applyAlignment="1" applyProtection="1">
      <alignment horizontal="left" vertical="center" wrapText="1"/>
      <protection/>
    </xf>
    <xf numFmtId="0" fontId="1" fillId="2" borderId="15" xfId="0" applyFont="1" applyFill="1" applyBorder="1" applyAlignment="1" applyProtection="1">
      <alignment horizontal="left"/>
      <protection/>
    </xf>
    <xf numFmtId="0" fontId="1" fillId="2" borderId="22" xfId="0" applyFont="1" applyFill="1" applyBorder="1" applyAlignment="1" applyProtection="1">
      <alignment horizontal="left" vertical="center" wrapText="1"/>
      <protection/>
    </xf>
    <xf numFmtId="0" fontId="1" fillId="2" borderId="20" xfId="0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66" fontId="1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164" fontId="1" fillId="2" borderId="20" xfId="0" applyNumberFormat="1" applyFont="1" applyFill="1" applyBorder="1" applyAlignment="1" applyProtection="1">
      <alignment horizontal="center" vertical="center"/>
      <protection/>
    </xf>
    <xf numFmtId="1" fontId="1" fillId="2" borderId="0" xfId="0" applyNumberFormat="1" applyFont="1" applyFill="1" applyBorder="1" applyAlignment="1" applyProtection="1">
      <alignment horizontal="right" vertical="center"/>
      <protection locked="0"/>
    </xf>
    <xf numFmtId="2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1" fillId="2" borderId="0" xfId="0" applyNumberFormat="1" applyFont="1" applyFill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>
      <alignment horizontal="center"/>
    </xf>
    <xf numFmtId="0" fontId="1" fillId="3" borderId="8" xfId="0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1" fillId="3" borderId="20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9" fontId="1" fillId="3" borderId="29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 horizontal="right" vertical="center"/>
      <protection/>
    </xf>
    <xf numFmtId="167" fontId="1" fillId="2" borderId="0" xfId="0" applyNumberFormat="1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166" fontId="9" fillId="2" borderId="0" xfId="0" applyNumberFormat="1" applyFont="1" applyFill="1" applyBorder="1" applyAlignment="1" applyProtection="1">
      <alignment horizontal="center" vertical="center"/>
      <protection/>
    </xf>
    <xf numFmtId="9" fontId="9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2" fontId="9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6" fontId="1" fillId="2" borderId="20" xfId="0" applyNumberFormat="1" applyFont="1" applyFill="1" applyBorder="1" applyAlignment="1" applyProtection="1">
      <alignment horizontal="right" vertical="center"/>
      <protection/>
    </xf>
    <xf numFmtId="164" fontId="1" fillId="2" borderId="25" xfId="0" applyNumberFormat="1" applyFont="1" applyFill="1" applyBorder="1" applyAlignment="1" applyProtection="1">
      <alignment horizontal="center" vertical="center"/>
      <protection/>
    </xf>
    <xf numFmtId="164" fontId="1" fillId="3" borderId="30" xfId="0" applyNumberFormat="1" applyFont="1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 applyProtection="1">
      <alignment horizontal="left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left" vertical="center"/>
      <protection/>
    </xf>
    <xf numFmtId="164" fontId="1" fillId="3" borderId="33" xfId="0" applyNumberFormat="1" applyFont="1" applyFill="1" applyBorder="1" applyAlignment="1" applyProtection="1">
      <alignment horizontal="center"/>
      <protection locked="0"/>
    </xf>
    <xf numFmtId="166" fontId="1" fillId="2" borderId="34" xfId="0" applyNumberFormat="1" applyFont="1" applyFill="1" applyBorder="1" applyAlignment="1" applyProtection="1">
      <alignment horizontal="right" vertical="center"/>
      <protection/>
    </xf>
    <xf numFmtId="0" fontId="1" fillId="2" borderId="35" xfId="0" applyFont="1" applyFill="1" applyBorder="1" applyAlignment="1" applyProtection="1">
      <alignment horizontal="left" vertical="center" wrapText="1"/>
      <protection/>
    </xf>
    <xf numFmtId="0" fontId="1" fillId="2" borderId="8" xfId="0" applyFont="1" applyFill="1" applyBorder="1" applyAlignment="1" applyProtection="1">
      <alignment horizontal="left" vertical="center" wrapText="1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center" vertical="center"/>
      <protection/>
    </xf>
    <xf numFmtId="0" fontId="1" fillId="2" borderId="39" xfId="0" applyFont="1" applyFill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  <xf numFmtId="0" fontId="1" fillId="2" borderId="41" xfId="0" applyFont="1" applyFill="1" applyBorder="1" applyAlignment="1" applyProtection="1">
      <alignment horizontal="center" vertical="center"/>
      <protection/>
    </xf>
    <xf numFmtId="1" fontId="1" fillId="3" borderId="16" xfId="0" applyNumberFormat="1" applyFont="1" applyFill="1" applyBorder="1" applyAlignment="1" applyProtection="1">
      <alignment horizontal="left"/>
      <protection locked="0"/>
    </xf>
    <xf numFmtId="1" fontId="1" fillId="3" borderId="20" xfId="0" applyNumberFormat="1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43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left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0" fontId="1" fillId="2" borderId="6" xfId="0" applyFont="1" applyFill="1" applyBorder="1" applyAlignment="1" applyProtection="1">
      <alignment horizontal="left" vertical="center"/>
      <protection/>
    </xf>
    <xf numFmtId="164" fontId="3" fillId="2" borderId="44" xfId="0" applyNumberFormat="1" applyFont="1" applyFill="1" applyBorder="1" applyAlignment="1" applyProtection="1">
      <alignment horizontal="center" vertical="center"/>
      <protection/>
    </xf>
    <xf numFmtId="164" fontId="2" fillId="2" borderId="42" xfId="0" applyNumberFormat="1" applyFont="1" applyFill="1" applyBorder="1" applyAlignment="1" applyProtection="1">
      <alignment horizontal="center" vertical="center"/>
      <protection/>
    </xf>
    <xf numFmtId="164" fontId="2" fillId="2" borderId="43" xfId="0" applyNumberFormat="1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left" vertical="center"/>
      <protection/>
    </xf>
    <xf numFmtId="0" fontId="1" fillId="2" borderId="46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horizontal="left" vertical="center"/>
      <protection/>
    </xf>
    <xf numFmtId="164" fontId="3" fillId="2" borderId="47" xfId="0" applyNumberFormat="1" applyFont="1" applyFill="1" applyBorder="1" applyAlignment="1" applyProtection="1">
      <alignment horizontal="center" vertical="center"/>
      <protection/>
    </xf>
    <xf numFmtId="164" fontId="2" fillId="2" borderId="48" xfId="0" applyNumberFormat="1" applyFont="1" applyFill="1" applyBorder="1" applyAlignment="1" applyProtection="1">
      <alignment horizontal="center" vertical="center"/>
      <protection/>
    </xf>
    <xf numFmtId="164" fontId="2" fillId="2" borderId="49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50" xfId="0" applyFont="1" applyFill="1" applyBorder="1" applyAlignment="1" applyProtection="1">
      <alignment horizontal="left" vertical="center"/>
      <protection/>
    </xf>
    <xf numFmtId="0" fontId="1" fillId="2" borderId="5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1" fontId="1" fillId="3" borderId="15" xfId="0" applyNumberFormat="1" applyFont="1" applyFill="1" applyBorder="1" applyAlignment="1" applyProtection="1">
      <alignment horizontal="left"/>
      <protection locked="0"/>
    </xf>
    <xf numFmtId="1" fontId="1" fillId="3" borderId="0" xfId="0" applyNumberFormat="1" applyFont="1" applyFill="1" applyBorder="1" applyAlignment="1" applyProtection="1">
      <alignment horizontal="left"/>
      <protection locked="0"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 wrapText="1"/>
      <protection/>
    </xf>
    <xf numFmtId="0" fontId="1" fillId="2" borderId="39" xfId="0" applyFont="1" applyFill="1" applyBorder="1" applyAlignment="1" applyProtection="1">
      <alignment horizontal="center" vertical="center" wrapText="1"/>
      <protection/>
    </xf>
    <xf numFmtId="0" fontId="1" fillId="2" borderId="47" xfId="0" applyFont="1" applyFill="1" applyBorder="1" applyAlignment="1" applyProtection="1">
      <alignment horizontal="center" vertical="center" wrapText="1"/>
      <protection/>
    </xf>
    <xf numFmtId="0" fontId="1" fillId="2" borderId="41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1" fillId="2" borderId="34" xfId="0" applyFont="1" applyFill="1" applyBorder="1" applyAlignment="1" applyProtection="1">
      <alignment horizontal="center" vertical="center" wrapText="1"/>
      <protection/>
    </xf>
    <xf numFmtId="1" fontId="1" fillId="3" borderId="5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2" fontId="1" fillId="2" borderId="53" xfId="0" applyNumberFormat="1" applyFont="1" applyFill="1" applyBorder="1" applyAlignment="1" applyProtection="1">
      <alignment horizontal="justify" vertical="justify"/>
      <protection/>
    </xf>
    <xf numFmtId="2" fontId="0" fillId="2" borderId="0" xfId="0" applyNumberFormat="1" applyFont="1" applyFill="1" applyBorder="1" applyAlignment="1" applyProtection="1">
      <alignment horizontal="justify" vertical="justify"/>
      <protection/>
    </xf>
    <xf numFmtId="2" fontId="0" fillId="2" borderId="46" xfId="0" applyNumberFormat="1" applyFont="1" applyFill="1" applyBorder="1" applyAlignment="1" applyProtection="1">
      <alignment horizontal="justify" vertical="justify"/>
      <protection/>
    </xf>
    <xf numFmtId="2" fontId="0" fillId="2" borderId="54" xfId="0" applyNumberFormat="1" applyFont="1" applyFill="1" applyBorder="1" applyAlignment="1" applyProtection="1">
      <alignment horizontal="justify" vertical="justify"/>
      <protection/>
    </xf>
    <xf numFmtId="2" fontId="0" fillId="2" borderId="55" xfId="0" applyNumberFormat="1" applyFont="1" applyFill="1" applyBorder="1" applyAlignment="1" applyProtection="1">
      <alignment horizontal="justify" vertical="justify"/>
      <protection/>
    </xf>
    <xf numFmtId="2" fontId="0" fillId="2" borderId="20" xfId="0" applyNumberFormat="1" applyFont="1" applyFill="1" applyBorder="1" applyAlignment="1" applyProtection="1">
      <alignment horizontal="justify" vertical="justify"/>
      <protection/>
    </xf>
    <xf numFmtId="2" fontId="0" fillId="2" borderId="22" xfId="0" applyNumberFormat="1" applyFont="1" applyFill="1" applyBorder="1" applyAlignment="1" applyProtection="1">
      <alignment horizontal="justify" vertical="justify"/>
      <protection/>
    </xf>
    <xf numFmtId="0" fontId="1" fillId="2" borderId="44" xfId="0" applyFont="1" applyFill="1" applyBorder="1" applyAlignment="1" applyProtection="1">
      <alignment horizontal="left" vertical="center"/>
      <protection/>
    </xf>
    <xf numFmtId="0" fontId="1" fillId="2" borderId="42" xfId="0" applyFont="1" applyFill="1" applyBorder="1" applyAlignment="1" applyProtection="1">
      <alignment horizontal="left" vertical="center"/>
      <protection/>
    </xf>
    <xf numFmtId="0" fontId="1" fillId="2" borderId="56" xfId="0" applyFont="1" applyFill="1" applyBorder="1" applyAlignment="1" applyProtection="1">
      <alignment horizontal="left" vertical="center"/>
      <protection/>
    </xf>
    <xf numFmtId="0" fontId="1" fillId="2" borderId="5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1" fontId="1" fillId="2" borderId="7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right" vertical="center"/>
      <protection/>
    </xf>
    <xf numFmtId="0" fontId="1" fillId="2" borderId="34" xfId="0" applyFont="1" applyFill="1" applyBorder="1" applyAlignment="1" applyProtection="1">
      <alignment horizontal="right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1" fontId="1" fillId="3" borderId="5" xfId="0" applyNumberFormat="1" applyFont="1" applyFill="1" applyBorder="1" applyAlignment="1" applyProtection="1">
      <alignment horizontal="left"/>
      <protection locked="0"/>
    </xf>
    <xf numFmtId="1" fontId="1" fillId="3" borderId="6" xfId="0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57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right" vertical="center"/>
      <protection/>
    </xf>
    <xf numFmtId="0" fontId="1" fillId="2" borderId="37" xfId="0" applyFont="1" applyFill="1" applyBorder="1" applyAlignment="1" applyProtection="1">
      <alignment horizontal="right" vertical="center"/>
      <protection/>
    </xf>
    <xf numFmtId="164" fontId="1" fillId="2" borderId="38" xfId="0" applyNumberFormat="1" applyFont="1" applyFill="1" applyBorder="1" applyAlignment="1" applyProtection="1">
      <alignment horizontal="center" vertical="center"/>
      <protection/>
    </xf>
    <xf numFmtId="164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 wrapText="1"/>
      <protection/>
    </xf>
    <xf numFmtId="0" fontId="1" fillId="2" borderId="59" xfId="0" applyFont="1" applyFill="1" applyBorder="1" applyAlignment="1" applyProtection="1">
      <alignment horizontal="center" vertical="center" wrapText="1"/>
      <protection/>
    </xf>
    <xf numFmtId="0" fontId="1" fillId="2" borderId="60" xfId="0" applyFont="1" applyFill="1" applyBorder="1" applyAlignment="1" applyProtection="1">
      <alignment horizontal="center" vertical="center" wrapText="1"/>
      <protection/>
    </xf>
    <xf numFmtId="1" fontId="1" fillId="2" borderId="19" xfId="0" applyNumberFormat="1" applyFont="1" applyFill="1" applyBorder="1" applyAlignment="1" applyProtection="1">
      <alignment horizontal="center"/>
      <protection/>
    </xf>
    <xf numFmtId="1" fontId="1" fillId="2" borderId="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165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1" fillId="2" borderId="5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57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/>
    </xf>
    <xf numFmtId="10" fontId="1" fillId="2" borderId="19" xfId="0" applyNumberFormat="1" applyFont="1" applyFill="1" applyBorder="1" applyAlignment="1" applyProtection="1">
      <alignment horizontal="center" vertical="center"/>
      <protection/>
    </xf>
    <xf numFmtId="10" fontId="1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37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1" fontId="1" fillId="2" borderId="7" xfId="0" applyNumberFormat="1" applyFont="1" applyFill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1" fillId="2" borderId="51" xfId="0" applyNumberFormat="1" applyFont="1" applyFill="1" applyBorder="1" applyAlignment="1" applyProtection="1">
      <alignment horizontal="center" vertical="center"/>
      <protection/>
    </xf>
    <xf numFmtId="1" fontId="1" fillId="2" borderId="57" xfId="0" applyNumberFormat="1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165" fontId="1" fillId="2" borderId="7" xfId="0" applyNumberFormat="1" applyFont="1" applyFill="1" applyBorder="1" applyAlignment="1" applyProtection="1">
      <alignment horizontal="center" vertical="center"/>
      <protection/>
    </xf>
    <xf numFmtId="165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1" fillId="3" borderId="61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/>
      <protection/>
    </xf>
    <xf numFmtId="0" fontId="1" fillId="2" borderId="57" xfId="0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justify" vertical="top" wrapText="1"/>
      <protection/>
    </xf>
    <xf numFmtId="0" fontId="0" fillId="2" borderId="8" xfId="0" applyFill="1" applyBorder="1" applyAlignment="1" applyProtection="1">
      <alignment horizontal="justify" vertical="top" wrapText="1"/>
      <protection/>
    </xf>
    <xf numFmtId="0" fontId="0" fillId="2" borderId="27" xfId="0" applyFill="1" applyBorder="1" applyAlignment="1" applyProtection="1">
      <alignment horizontal="justify" vertical="top" wrapText="1"/>
      <protection/>
    </xf>
    <xf numFmtId="0" fontId="0" fillId="2" borderId="53" xfId="0" applyFill="1" applyBorder="1" applyAlignment="1" applyProtection="1">
      <alignment horizontal="justify" vertical="top" wrapText="1"/>
      <protection/>
    </xf>
    <xf numFmtId="0" fontId="0" fillId="2" borderId="0" xfId="0" applyFill="1" applyBorder="1" applyAlignment="1" applyProtection="1">
      <alignment horizontal="justify" vertical="top" wrapText="1"/>
      <protection/>
    </xf>
    <xf numFmtId="0" fontId="0" fillId="2" borderId="18" xfId="0" applyFill="1" applyBorder="1" applyAlignment="1" applyProtection="1">
      <alignment horizontal="justify" vertical="top" wrapText="1"/>
      <protection/>
    </xf>
    <xf numFmtId="0" fontId="0" fillId="2" borderId="55" xfId="0" applyFill="1" applyBorder="1" applyAlignment="1" applyProtection="1">
      <alignment horizontal="justify" vertical="top" wrapText="1"/>
      <protection/>
    </xf>
    <xf numFmtId="0" fontId="0" fillId="2" borderId="20" xfId="0" applyFill="1" applyBorder="1" applyAlignment="1" applyProtection="1">
      <alignment horizontal="justify" vertical="top" wrapText="1"/>
      <protection/>
    </xf>
    <xf numFmtId="0" fontId="0" fillId="2" borderId="22" xfId="0" applyFill="1" applyBorder="1" applyAlignment="1" applyProtection="1">
      <alignment horizontal="justify" vertical="top" wrapText="1"/>
      <protection/>
    </xf>
    <xf numFmtId="0" fontId="1" fillId="2" borderId="61" xfId="0" applyFont="1" applyFill="1" applyBorder="1" applyAlignment="1" applyProtection="1">
      <alignment horizontal="center" vertical="center" shrinkToFit="1"/>
      <protection/>
    </xf>
    <xf numFmtId="0" fontId="1" fillId="2" borderId="37" xfId="0" applyFont="1" applyFill="1" applyBorder="1" applyAlignment="1" applyProtection="1">
      <alignment horizontal="center" vertical="center" shrinkToFit="1"/>
      <protection/>
    </xf>
    <xf numFmtId="0" fontId="1" fillId="2" borderId="49" xfId="0" applyFont="1" applyFill="1" applyBorder="1" applyAlignment="1" applyProtection="1">
      <alignment horizontal="center" vertical="center" wrapText="1"/>
      <protection/>
    </xf>
    <xf numFmtId="0" fontId="1" fillId="2" borderId="59" xfId="0" applyFont="1" applyFill="1" applyBorder="1" applyAlignment="1" applyProtection="1">
      <alignment horizontal="center" vertical="center" textRotation="255"/>
      <protection/>
    </xf>
    <xf numFmtId="0" fontId="1" fillId="2" borderId="60" xfId="0" applyFont="1" applyFill="1" applyBorder="1" applyAlignment="1" applyProtection="1">
      <alignment horizontal="center" vertical="center" textRotation="255"/>
      <protection/>
    </xf>
    <xf numFmtId="1" fontId="1" fillId="3" borderId="46" xfId="0" applyNumberFormat="1" applyFont="1" applyFill="1" applyBorder="1" applyAlignment="1" applyProtection="1">
      <alignment horizontal="left"/>
      <protection locked="0"/>
    </xf>
    <xf numFmtId="1" fontId="1" fillId="3" borderId="9" xfId="0" applyNumberFormat="1" applyFont="1" applyFill="1" applyBorder="1" applyAlignment="1" applyProtection="1">
      <alignment horizontal="left"/>
      <protection locked="0"/>
    </xf>
    <xf numFmtId="164" fontId="3" fillId="2" borderId="42" xfId="0" applyNumberFormat="1" applyFont="1" applyFill="1" applyBorder="1" applyAlignment="1" applyProtection="1">
      <alignment horizontal="center" vertical="center"/>
      <protection/>
    </xf>
    <xf numFmtId="165" fontId="1" fillId="2" borderId="56" xfId="0" applyNumberFormat="1" applyFont="1" applyFill="1" applyBorder="1" applyAlignment="1" applyProtection="1">
      <alignment horizontal="center" vertical="center"/>
      <protection/>
    </xf>
    <xf numFmtId="165" fontId="1" fillId="2" borderId="32" xfId="0" applyNumberFormat="1" applyFont="1" applyFill="1" applyBorder="1" applyAlignment="1" applyProtection="1">
      <alignment horizontal="center" vertical="center"/>
      <protection/>
    </xf>
    <xf numFmtId="165" fontId="1" fillId="2" borderId="24" xfId="0" applyNumberFormat="1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left" vertical="center"/>
      <protection/>
    </xf>
    <xf numFmtId="0" fontId="1" fillId="2" borderId="41" xfId="0" applyFont="1" applyFill="1" applyBorder="1" applyAlignment="1" applyProtection="1">
      <alignment horizontal="left" vertical="center"/>
      <protection/>
    </xf>
    <xf numFmtId="166" fontId="1" fillId="2" borderId="62" xfId="0" applyNumberFormat="1" applyFont="1" applyFill="1" applyBorder="1" applyAlignment="1" applyProtection="1">
      <alignment horizontal="center" vertical="center"/>
      <protection/>
    </xf>
    <xf numFmtId="166" fontId="1" fillId="2" borderId="54" xfId="0" applyNumberFormat="1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48" xfId="0" applyFont="1" applyFill="1" applyBorder="1" applyAlignment="1" applyProtection="1">
      <alignment horizontal="center" vertical="center"/>
      <protection/>
    </xf>
    <xf numFmtId="0" fontId="1" fillId="2" borderId="49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 topLeftCell="A37">
      <selection activeCell="E48" sqref="E48:L52"/>
    </sheetView>
  </sheetViews>
  <sheetFormatPr defaultColWidth="11.421875" defaultRowHeight="12.75"/>
  <cols>
    <col min="1" max="1" width="3.7109375" style="44" customWidth="1"/>
    <col min="2" max="2" width="11.421875" style="45" customWidth="1"/>
    <col min="3" max="3" width="10.7109375" style="45" customWidth="1"/>
    <col min="4" max="4" width="8.8515625" style="45" customWidth="1"/>
    <col min="5" max="5" width="8.140625" style="45" customWidth="1"/>
    <col min="6" max="12" width="7.8515625" style="45" customWidth="1"/>
    <col min="13" max="13" width="11.421875" style="46" customWidth="1"/>
    <col min="14" max="14" width="15.57421875" style="55" hidden="1" customWidth="1"/>
    <col min="15" max="15" width="11.421875" style="110" hidden="1" customWidth="1"/>
    <col min="16" max="16" width="11.421875" style="64" hidden="1" customWidth="1"/>
    <col min="17" max="17" width="25.8515625" style="55" hidden="1" customWidth="1"/>
    <col min="18" max="18" width="11.421875" style="46" hidden="1" customWidth="1"/>
    <col min="19" max="20" width="11.421875" style="92" customWidth="1"/>
    <col min="21" max="46" width="11.421875" style="46" customWidth="1"/>
    <col min="47" max="16384" width="11.421875" style="47" customWidth="1"/>
  </cols>
  <sheetData>
    <row r="1" spans="2:18" ht="15.75" thickBot="1">
      <c r="B1" s="135" t="s">
        <v>35</v>
      </c>
      <c r="C1" s="136"/>
      <c r="D1" s="136"/>
      <c r="E1" s="136"/>
      <c r="F1" s="136"/>
      <c r="G1" s="136"/>
      <c r="H1" s="136"/>
      <c r="I1" s="136"/>
      <c r="J1" s="136"/>
      <c r="K1" s="136"/>
      <c r="L1" s="137"/>
      <c r="N1" s="55" t="s">
        <v>56</v>
      </c>
      <c r="O1" s="110">
        <f>Hoja1!F3*0.9-Evaphor*E41/60</f>
        <v>40.5</v>
      </c>
      <c r="P1" s="64" t="s">
        <v>80</v>
      </c>
      <c r="Q1" s="91" t="s">
        <v>95</v>
      </c>
      <c r="R1" s="91">
        <v>475</v>
      </c>
    </row>
    <row r="2" spans="2:18" ht="15.75" thickBot="1">
      <c r="B2" s="2"/>
      <c r="C2" s="2"/>
      <c r="D2" s="16"/>
      <c r="E2" s="16"/>
      <c r="F2" s="16"/>
      <c r="G2" s="46"/>
      <c r="H2" s="46"/>
      <c r="I2" s="46"/>
      <c r="J2" s="46"/>
      <c r="K2" s="46"/>
      <c r="L2" s="46"/>
      <c r="N2" s="55" t="s">
        <v>57</v>
      </c>
      <c r="O2" s="110">
        <f>(F18*259-259000)/100</f>
        <v>116.55</v>
      </c>
      <c r="P2" s="64" t="s">
        <v>79</v>
      </c>
      <c r="Q2" s="91" t="s">
        <v>96</v>
      </c>
      <c r="R2" s="91">
        <v>125</v>
      </c>
    </row>
    <row r="3" spans="2:18" ht="15">
      <c r="B3" s="132" t="s">
        <v>123</v>
      </c>
      <c r="C3" s="133"/>
      <c r="D3" s="133"/>
      <c r="E3" s="13"/>
      <c r="F3" s="95">
        <v>50</v>
      </c>
      <c r="G3" s="79" t="s">
        <v>36</v>
      </c>
      <c r="H3" s="167" t="s">
        <v>70</v>
      </c>
      <c r="I3" s="168"/>
      <c r="J3" s="138" t="s">
        <v>5</v>
      </c>
      <c r="K3" s="139"/>
      <c r="L3" s="134" t="s">
        <v>10</v>
      </c>
      <c r="N3" s="55" t="s">
        <v>58</v>
      </c>
      <c r="O3" s="110">
        <f>O2-(Adic1+Adic2+Adic3)/litrosfinales</f>
        <v>116.55</v>
      </c>
      <c r="P3" s="64" t="s">
        <v>79</v>
      </c>
      <c r="Q3" s="91" t="s">
        <v>97</v>
      </c>
      <c r="R3" s="91">
        <v>50</v>
      </c>
    </row>
    <row r="4" spans="2:18" ht="15">
      <c r="B4" s="144" t="s">
        <v>37</v>
      </c>
      <c r="C4" s="145"/>
      <c r="D4" s="145"/>
      <c r="E4" s="2"/>
      <c r="F4" s="96">
        <v>3</v>
      </c>
      <c r="G4" s="80" t="s">
        <v>36</v>
      </c>
      <c r="H4" s="169"/>
      <c r="I4" s="170"/>
      <c r="J4" s="140"/>
      <c r="K4" s="141"/>
      <c r="L4" s="166"/>
      <c r="N4" s="55" t="s">
        <v>59</v>
      </c>
      <c r="O4" s="110">
        <f>(O3*100+259000)/259</f>
        <v>1045</v>
      </c>
      <c r="P4" s="48"/>
      <c r="Q4" s="91" t="s">
        <v>98</v>
      </c>
      <c r="R4" s="91">
        <v>120</v>
      </c>
    </row>
    <row r="5" spans="2:18" ht="15">
      <c r="B5" s="144" t="s">
        <v>84</v>
      </c>
      <c r="C5" s="145"/>
      <c r="D5" s="145"/>
      <c r="E5" s="145"/>
      <c r="F5" s="89">
        <f>(-0.00537*Hoja1!E34+6.261533)*100</f>
        <v>67.4048</v>
      </c>
      <c r="G5" s="81" t="s">
        <v>0</v>
      </c>
      <c r="H5" s="175" t="s">
        <v>71</v>
      </c>
      <c r="I5" s="176"/>
      <c r="J5" s="173" t="s">
        <v>91</v>
      </c>
      <c r="K5" s="174"/>
      <c r="L5" s="100">
        <f>VLOOKUP(J5,$N$10:$O$20,2,FALSE)</f>
        <v>4.5</v>
      </c>
      <c r="N5" s="55" t="s">
        <v>78</v>
      </c>
      <c r="O5" s="110">
        <f>litrosfinales*O2</f>
        <v>4720.275</v>
      </c>
      <c r="Q5" s="91" t="s">
        <v>99</v>
      </c>
      <c r="R5" s="91">
        <v>140</v>
      </c>
    </row>
    <row r="6" spans="2:18" ht="15">
      <c r="B6" s="144" t="s">
        <v>38</v>
      </c>
      <c r="C6" s="145"/>
      <c r="D6" s="145"/>
      <c r="E6" s="145"/>
      <c r="F6" s="97">
        <f>F5</f>
        <v>67.4048</v>
      </c>
      <c r="G6" s="81" t="s">
        <v>0</v>
      </c>
      <c r="H6" s="175" t="s">
        <v>72</v>
      </c>
      <c r="I6" s="176"/>
      <c r="J6" s="173" t="s">
        <v>68</v>
      </c>
      <c r="K6" s="174"/>
      <c r="L6" s="100">
        <f>VLOOKUP(J6,$N$10:$O$20,2,FALSE)</f>
        <v>5</v>
      </c>
      <c r="N6" s="55" t="s">
        <v>85</v>
      </c>
      <c r="O6" s="111">
        <f>IF(J26=" ",H32,J26)</f>
        <v>69</v>
      </c>
      <c r="P6" s="48"/>
      <c r="Q6" s="91" t="s">
        <v>100</v>
      </c>
      <c r="R6" s="91">
        <v>30</v>
      </c>
    </row>
    <row r="7" spans="2:18" ht="15">
      <c r="B7" s="82" t="s">
        <v>40</v>
      </c>
      <c r="C7" s="64"/>
      <c r="D7" s="64"/>
      <c r="E7" s="64"/>
      <c r="F7" s="98">
        <v>2</v>
      </c>
      <c r="G7" s="81" t="s">
        <v>41</v>
      </c>
      <c r="H7" s="175" t="s">
        <v>73</v>
      </c>
      <c r="I7" s="176"/>
      <c r="J7" s="173" t="s">
        <v>91</v>
      </c>
      <c r="K7" s="174"/>
      <c r="L7" s="100">
        <f>VLOOKUP(J7,$N$10:$O$20,2,FALSE)</f>
        <v>4.5</v>
      </c>
      <c r="N7" s="55" t="s">
        <v>89</v>
      </c>
      <c r="O7" s="112" t="str">
        <f>IF(C35=" ","0",C35)</f>
        <v>0</v>
      </c>
      <c r="P7" s="48"/>
      <c r="Q7" s="91" t="s">
        <v>101</v>
      </c>
      <c r="R7" s="91">
        <v>60</v>
      </c>
    </row>
    <row r="8" spans="2:18" ht="15.75" thickBot="1">
      <c r="B8" s="171" t="s">
        <v>86</v>
      </c>
      <c r="C8" s="172"/>
      <c r="D8" s="172"/>
      <c r="E8" s="172"/>
      <c r="F8" s="99">
        <v>15</v>
      </c>
      <c r="G8" s="83" t="s">
        <v>41</v>
      </c>
      <c r="H8" s="177" t="s">
        <v>74</v>
      </c>
      <c r="I8" s="178"/>
      <c r="J8" s="173" t="s">
        <v>2</v>
      </c>
      <c r="K8" s="174"/>
      <c r="L8" s="100" t="str">
        <f>VLOOKUP(J8,$N$10:$O$20,2,FALSE)</f>
        <v> </v>
      </c>
      <c r="Q8" s="91" t="s">
        <v>102</v>
      </c>
      <c r="R8" s="91">
        <v>475</v>
      </c>
    </row>
    <row r="9" spans="14:18" ht="15.75" thickBot="1">
      <c r="N9" s="55" t="s">
        <v>114</v>
      </c>
      <c r="Q9" s="91" t="s">
        <v>103</v>
      </c>
      <c r="R9" s="91">
        <v>375</v>
      </c>
    </row>
    <row r="10" spans="2:18" ht="15" customHeight="1" thickBot="1">
      <c r="B10" s="229" t="s">
        <v>65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1"/>
      <c r="N10" s="120" t="s">
        <v>115</v>
      </c>
      <c r="O10" s="122">
        <v>7.5</v>
      </c>
      <c r="Q10" s="91" t="s">
        <v>104</v>
      </c>
      <c r="R10" s="91">
        <v>20</v>
      </c>
    </row>
    <row r="11" spans="2:18" ht="15" customHeight="1">
      <c r="B11" s="27"/>
      <c r="C11" s="2"/>
      <c r="D11" s="2"/>
      <c r="E11" s="2"/>
      <c r="F11" s="2"/>
      <c r="G11" s="2"/>
      <c r="H11" s="2"/>
      <c r="I11" s="2"/>
      <c r="J11" s="2"/>
      <c r="K11" s="2"/>
      <c r="L11" s="35"/>
      <c r="N11" s="120" t="s">
        <v>117</v>
      </c>
      <c r="O11" s="122">
        <v>4.1</v>
      </c>
      <c r="Q11" s="91" t="s">
        <v>105</v>
      </c>
      <c r="R11" s="91">
        <v>3</v>
      </c>
    </row>
    <row r="12" spans="2:18" ht="15" customHeight="1">
      <c r="B12" s="23" t="s">
        <v>3</v>
      </c>
      <c r="C12" s="216" t="s">
        <v>126</v>
      </c>
      <c r="D12" s="233"/>
      <c r="E12" s="233"/>
      <c r="F12" s="217"/>
      <c r="G12" s="216" t="s">
        <v>1</v>
      </c>
      <c r="H12" s="217"/>
      <c r="I12" s="279" t="s">
        <v>127</v>
      </c>
      <c r="J12" s="234"/>
      <c r="K12" s="234"/>
      <c r="L12" s="235"/>
      <c r="N12" s="120" t="s">
        <v>118</v>
      </c>
      <c r="O12" s="122">
        <v>4.7</v>
      </c>
      <c r="Q12" s="91" t="s">
        <v>106</v>
      </c>
      <c r="R12" s="91">
        <v>125</v>
      </c>
    </row>
    <row r="13" spans="2:18" ht="15">
      <c r="B13" s="27"/>
      <c r="C13" s="2"/>
      <c r="D13" s="2"/>
      <c r="E13" s="2"/>
      <c r="F13" s="2"/>
      <c r="G13" s="2"/>
      <c r="H13" s="2"/>
      <c r="I13" s="2"/>
      <c r="J13" s="2"/>
      <c r="K13" s="2"/>
      <c r="L13" s="35"/>
      <c r="N13" s="120" t="s">
        <v>68</v>
      </c>
      <c r="O13" s="122">
        <v>5</v>
      </c>
      <c r="Q13" s="91" t="s">
        <v>107</v>
      </c>
      <c r="R13" s="91">
        <v>375</v>
      </c>
    </row>
    <row r="14" spans="2:18" ht="15" customHeight="1">
      <c r="B14" s="237" t="s">
        <v>14</v>
      </c>
      <c r="C14" s="238"/>
      <c r="D14" s="216" t="s">
        <v>4</v>
      </c>
      <c r="E14" s="233"/>
      <c r="F14" s="217"/>
      <c r="G14" s="216" t="s">
        <v>15</v>
      </c>
      <c r="H14" s="233"/>
      <c r="I14" s="217"/>
      <c r="J14" s="239" t="s">
        <v>16</v>
      </c>
      <c r="K14" s="241"/>
      <c r="L14" s="242"/>
      <c r="N14" s="120" t="s">
        <v>91</v>
      </c>
      <c r="O14" s="122">
        <v>4.5</v>
      </c>
      <c r="Q14" s="91" t="s">
        <v>108</v>
      </c>
      <c r="R14" s="91">
        <v>325</v>
      </c>
    </row>
    <row r="15" spans="2:18" ht="15" customHeight="1">
      <c r="B15" s="243"/>
      <c r="C15" s="141"/>
      <c r="D15" s="218" t="s">
        <v>2</v>
      </c>
      <c r="E15" s="219"/>
      <c r="F15" s="220"/>
      <c r="G15" s="218" t="s">
        <v>2</v>
      </c>
      <c r="H15" s="219"/>
      <c r="I15" s="220"/>
      <c r="J15" s="218" t="s">
        <v>2</v>
      </c>
      <c r="K15" s="219"/>
      <c r="L15" s="221"/>
      <c r="N15" s="120" t="s">
        <v>119</v>
      </c>
      <c r="O15" s="122">
        <v>4.1</v>
      </c>
      <c r="Q15" s="55" t="s">
        <v>113</v>
      </c>
      <c r="R15" s="46">
        <v>2</v>
      </c>
    </row>
    <row r="16" spans="2:18" ht="15" customHeight="1">
      <c r="B16" s="27"/>
      <c r="C16" s="2"/>
      <c r="D16" s="43"/>
      <c r="E16" s="43"/>
      <c r="F16" s="43"/>
      <c r="G16" s="2"/>
      <c r="H16" s="2"/>
      <c r="I16" s="2"/>
      <c r="J16" s="19"/>
      <c r="K16" s="19"/>
      <c r="L16" s="36"/>
      <c r="N16" s="120" t="s">
        <v>120</v>
      </c>
      <c r="O16" s="122">
        <v>11</v>
      </c>
      <c r="P16" s="48"/>
      <c r="Q16" s="91" t="s">
        <v>128</v>
      </c>
      <c r="R16" s="91">
        <v>11</v>
      </c>
    </row>
    <row r="17" spans="2:18" ht="15" customHeight="1">
      <c r="B17" s="237" t="s">
        <v>18</v>
      </c>
      <c r="C17" s="238"/>
      <c r="D17" s="244" t="s">
        <v>20</v>
      </c>
      <c r="E17" s="245"/>
      <c r="F17" s="244" t="s">
        <v>21</v>
      </c>
      <c r="G17" s="245"/>
      <c r="H17" s="216" t="s">
        <v>22</v>
      </c>
      <c r="I17" s="217"/>
      <c r="J17" s="239" t="s">
        <v>23</v>
      </c>
      <c r="K17" s="240"/>
      <c r="L17" s="30" t="s">
        <v>24</v>
      </c>
      <c r="N17" s="121" t="s">
        <v>116</v>
      </c>
      <c r="O17" s="123">
        <v>11.9</v>
      </c>
      <c r="P17" s="48"/>
      <c r="Q17" s="91" t="s">
        <v>90</v>
      </c>
      <c r="R17" s="91">
        <v>2</v>
      </c>
    </row>
    <row r="18" spans="2:18" ht="15" customHeight="1" thickBot="1">
      <c r="B18" s="171" t="s">
        <v>19</v>
      </c>
      <c r="C18" s="236"/>
      <c r="D18" s="232">
        <f>D44+D45+D46+D47</f>
        <v>30</v>
      </c>
      <c r="E18" s="205"/>
      <c r="F18" s="224">
        <v>1045</v>
      </c>
      <c r="G18" s="225"/>
      <c r="H18" s="224" t="s">
        <v>2</v>
      </c>
      <c r="I18" s="225"/>
      <c r="J18" s="227" t="str">
        <f>IF(H18=" "," ",(F18-H18)*0.13125/100)</f>
        <v> </v>
      </c>
      <c r="K18" s="228"/>
      <c r="L18" s="94">
        <f>(O31*8.3454043)^0.69*1.49</f>
        <v>8.230666198403775</v>
      </c>
      <c r="N18" s="55" t="s">
        <v>2</v>
      </c>
      <c r="O18" s="18" t="s">
        <v>2</v>
      </c>
      <c r="P18" s="48"/>
      <c r="Q18" s="91" t="s">
        <v>109</v>
      </c>
      <c r="R18" s="91">
        <v>2</v>
      </c>
    </row>
    <row r="19" spans="2:18" ht="15" customHeight="1" thickBot="1">
      <c r="B19" s="27"/>
      <c r="C19" s="2"/>
      <c r="D19" s="43"/>
      <c r="E19" s="43"/>
      <c r="F19" s="43"/>
      <c r="G19" s="2"/>
      <c r="H19" s="2"/>
      <c r="I19" s="2"/>
      <c r="J19" s="19"/>
      <c r="K19" s="19"/>
      <c r="L19" s="36"/>
      <c r="N19" s="55" t="s">
        <v>2</v>
      </c>
      <c r="O19" s="18" t="s">
        <v>2</v>
      </c>
      <c r="P19" s="48"/>
      <c r="Q19" s="91" t="s">
        <v>110</v>
      </c>
      <c r="R19" s="91">
        <v>450</v>
      </c>
    </row>
    <row r="20" spans="2:18" ht="15" customHeight="1" thickBot="1">
      <c r="B20" s="199" t="s">
        <v>6</v>
      </c>
      <c r="C20" s="200"/>
      <c r="D20" s="200"/>
      <c r="E20" s="200"/>
      <c r="F20" s="200"/>
      <c r="G20" s="136"/>
      <c r="H20" s="136"/>
      <c r="I20" s="136"/>
      <c r="J20" s="136"/>
      <c r="K20" s="136"/>
      <c r="L20" s="137"/>
      <c r="N20" s="55" t="s">
        <v>2</v>
      </c>
      <c r="O20" s="18" t="s">
        <v>2</v>
      </c>
      <c r="P20" s="48"/>
      <c r="Q20" s="55" t="s">
        <v>112</v>
      </c>
      <c r="R20" s="46">
        <v>2</v>
      </c>
    </row>
    <row r="21" spans="2:18" ht="15" customHeight="1">
      <c r="B21" s="226" t="s">
        <v>13</v>
      </c>
      <c r="C21" s="146"/>
      <c r="D21" s="128" t="s">
        <v>0</v>
      </c>
      <c r="E21" s="146" t="s">
        <v>42</v>
      </c>
      <c r="F21" s="147"/>
      <c r="G21" s="269" t="s">
        <v>55</v>
      </c>
      <c r="H21" s="270"/>
      <c r="I21" s="270"/>
      <c r="J21" s="270"/>
      <c r="K21" s="270"/>
      <c r="L21" s="271"/>
      <c r="N21" s="160"/>
      <c r="O21" s="160"/>
      <c r="P21" s="43"/>
      <c r="Q21" s="91" t="s">
        <v>111</v>
      </c>
      <c r="R21" s="91">
        <v>2.5</v>
      </c>
    </row>
    <row r="22" spans="2:18" ht="15" customHeight="1">
      <c r="B22" s="164" t="s">
        <v>109</v>
      </c>
      <c r="C22" s="165"/>
      <c r="D22" s="125">
        <f>100-D23-D24-D25-D26-D27-D28-D29-D30</f>
        <v>50</v>
      </c>
      <c r="E22" s="33">
        <f aca="true" t="shared" si="0" ref="E22:E30">$D$31*D22/100</f>
        <v>3.501438324867072</v>
      </c>
      <c r="F22" s="129" t="s">
        <v>44</v>
      </c>
      <c r="G22" s="217" t="s">
        <v>43</v>
      </c>
      <c r="H22" s="222"/>
      <c r="I22" s="25">
        <f>I24*D31</f>
        <v>21.008629949202433</v>
      </c>
      <c r="J22" s="223" t="s">
        <v>27</v>
      </c>
      <c r="K22" s="223"/>
      <c r="L22" s="30">
        <f>(O6-Hoja1!F8)*0.417/Hoja1!I24+Hoja1!O6+Hoja1!F7</f>
        <v>78.506</v>
      </c>
      <c r="N22" s="93">
        <f>VLOOKUP(B22,Hoja1!$Q$1:$R$31,2,FALSE)</f>
        <v>2</v>
      </c>
      <c r="O22" s="90">
        <f aca="true" t="shared" si="1" ref="O22:O30">N22*E22/litrosfinales</f>
        <v>0.1729105345613369</v>
      </c>
      <c r="P22" s="90"/>
      <c r="Q22" s="55" t="s">
        <v>2</v>
      </c>
      <c r="R22" s="46">
        <v>0</v>
      </c>
    </row>
    <row r="23" spans="2:18" ht="15" customHeight="1">
      <c r="B23" s="164" t="s">
        <v>90</v>
      </c>
      <c r="C23" s="165"/>
      <c r="D23" s="126">
        <v>30</v>
      </c>
      <c r="E23" s="34">
        <f t="shared" si="0"/>
        <v>2.1008629949202433</v>
      </c>
      <c r="F23" s="40" t="s">
        <v>44</v>
      </c>
      <c r="G23" s="217" t="s">
        <v>67</v>
      </c>
      <c r="H23" s="222"/>
      <c r="I23" s="49">
        <v>3</v>
      </c>
      <c r="J23" s="8" t="s">
        <v>66</v>
      </c>
      <c r="K23" s="222" t="s">
        <v>75</v>
      </c>
      <c r="L23" s="276"/>
      <c r="N23" s="93">
        <f>VLOOKUP(B23,Hoja1!$Q$1:$R$31,2,FALSE)</f>
        <v>2</v>
      </c>
      <c r="O23" s="90">
        <f t="shared" si="1"/>
        <v>0.10374632073680214</v>
      </c>
      <c r="P23" s="90"/>
      <c r="Q23" s="55" t="s">
        <v>2</v>
      </c>
      <c r="R23" s="46">
        <v>0</v>
      </c>
    </row>
    <row r="24" spans="2:18" ht="15" customHeight="1" thickBot="1">
      <c r="B24" s="164" t="s">
        <v>101</v>
      </c>
      <c r="C24" s="165"/>
      <c r="D24" s="126">
        <v>10</v>
      </c>
      <c r="E24" s="34">
        <f t="shared" si="0"/>
        <v>0.7002876649734145</v>
      </c>
      <c r="F24" s="40" t="s">
        <v>44</v>
      </c>
      <c r="G24" s="205" t="s">
        <v>76</v>
      </c>
      <c r="H24" s="206"/>
      <c r="I24" s="109">
        <f>I23</f>
        <v>3</v>
      </c>
      <c r="J24" s="22" t="s">
        <v>66</v>
      </c>
      <c r="K24" s="31">
        <f>D31*(I24+0.75)</f>
        <v>26.26078743650304</v>
      </c>
      <c r="L24" s="32" t="s">
        <v>36</v>
      </c>
      <c r="N24" s="93">
        <f>VLOOKUP(B24,Hoja1!$Q$1:$R$31,2,FALSE)</f>
        <v>60</v>
      </c>
      <c r="O24" s="90">
        <f t="shared" si="1"/>
        <v>1.0374632073680217</v>
      </c>
      <c r="P24" s="90"/>
      <c r="Q24" s="55" t="s">
        <v>2</v>
      </c>
      <c r="R24" s="46">
        <v>0</v>
      </c>
    </row>
    <row r="25" spans="2:18" ht="15" customHeight="1">
      <c r="B25" s="164" t="s">
        <v>128</v>
      </c>
      <c r="C25" s="165"/>
      <c r="D25" s="126">
        <v>5</v>
      </c>
      <c r="E25" s="34">
        <f t="shared" si="0"/>
        <v>0.3501438324867073</v>
      </c>
      <c r="F25" s="40" t="s">
        <v>44</v>
      </c>
      <c r="G25" s="277" t="s">
        <v>26</v>
      </c>
      <c r="H25" s="277"/>
      <c r="I25" s="277"/>
      <c r="J25" s="277"/>
      <c r="K25" s="277"/>
      <c r="L25" s="278"/>
      <c r="N25" s="93">
        <f>VLOOKUP(B25,Hoja1!$Q$1:$R$31,2,FALSE)</f>
        <v>11</v>
      </c>
      <c r="O25" s="90">
        <f t="shared" si="1"/>
        <v>0.0951007940087353</v>
      </c>
      <c r="P25" s="90"/>
      <c r="Q25" s="55" t="s">
        <v>2</v>
      </c>
      <c r="R25" s="46">
        <v>0</v>
      </c>
    </row>
    <row r="26" spans="2:18" ht="15" customHeight="1">
      <c r="B26" s="164" t="s">
        <v>112</v>
      </c>
      <c r="C26" s="165"/>
      <c r="D26" s="126">
        <v>5</v>
      </c>
      <c r="E26" s="34">
        <f t="shared" si="0"/>
        <v>0.3501438324867073</v>
      </c>
      <c r="F26" s="40" t="s">
        <v>44</v>
      </c>
      <c r="G26" s="15" t="s">
        <v>7</v>
      </c>
      <c r="H26" s="102">
        <v>60</v>
      </c>
      <c r="I26" s="2" t="s">
        <v>45</v>
      </c>
      <c r="J26" s="102">
        <v>69</v>
      </c>
      <c r="K26" s="203" t="s">
        <v>46</v>
      </c>
      <c r="L26" s="204"/>
      <c r="N26" s="93">
        <f>VLOOKUP(B26,Hoja1!$Q$1:$R$31,2,FALSE)</f>
        <v>2</v>
      </c>
      <c r="O26" s="90">
        <f t="shared" si="1"/>
        <v>0.017291053456133694</v>
      </c>
      <c r="P26" s="90"/>
      <c r="Q26" s="55" t="s">
        <v>2</v>
      </c>
      <c r="R26" s="46">
        <v>0</v>
      </c>
    </row>
    <row r="27" spans="2:18" ht="15" customHeight="1">
      <c r="B27" s="164" t="s">
        <v>2</v>
      </c>
      <c r="C27" s="165"/>
      <c r="D27" s="126">
        <v>0</v>
      </c>
      <c r="E27" s="34">
        <f t="shared" si="0"/>
        <v>0</v>
      </c>
      <c r="F27" s="40" t="s">
        <v>44</v>
      </c>
      <c r="G27" s="193" t="s">
        <v>47</v>
      </c>
      <c r="H27" s="193"/>
      <c r="I27" s="194"/>
      <c r="J27" s="17"/>
      <c r="K27" s="4" t="s">
        <v>48</v>
      </c>
      <c r="L27" s="5" t="s">
        <v>49</v>
      </c>
      <c r="N27" s="93">
        <f>VLOOKUP(B27,Hoja1!$Q$1:$R$31,2,FALSE)</f>
        <v>0</v>
      </c>
      <c r="O27" s="90">
        <f t="shared" si="1"/>
        <v>0</v>
      </c>
      <c r="P27" s="90"/>
      <c r="Q27" s="55" t="s">
        <v>2</v>
      </c>
      <c r="R27" s="46">
        <v>0</v>
      </c>
    </row>
    <row r="28" spans="2:18" ht="15" customHeight="1" thickBot="1">
      <c r="B28" s="164" t="s">
        <v>2</v>
      </c>
      <c r="C28" s="165"/>
      <c r="D28" s="126">
        <v>0</v>
      </c>
      <c r="E28" s="34">
        <f t="shared" si="0"/>
        <v>0</v>
      </c>
      <c r="F28" s="40" t="s">
        <v>44</v>
      </c>
      <c r="G28" s="10" t="s">
        <v>50</v>
      </c>
      <c r="H28" s="10"/>
      <c r="I28" s="11"/>
      <c r="J28" s="68"/>
      <c r="K28" s="68"/>
      <c r="L28" s="69"/>
      <c r="N28" s="93">
        <f>VLOOKUP(B28,Hoja1!$Q$1:$R$31,2,FALSE)</f>
        <v>0</v>
      </c>
      <c r="O28" s="90">
        <f t="shared" si="1"/>
        <v>0</v>
      </c>
      <c r="P28" s="90"/>
      <c r="Q28" s="55" t="s">
        <v>2</v>
      </c>
      <c r="R28" s="46">
        <v>0</v>
      </c>
    </row>
    <row r="29" spans="2:18" ht="15" customHeight="1">
      <c r="B29" s="164" t="s">
        <v>2</v>
      </c>
      <c r="C29" s="165"/>
      <c r="D29" s="126">
        <v>0</v>
      </c>
      <c r="E29" s="34">
        <f t="shared" si="0"/>
        <v>0</v>
      </c>
      <c r="F29" s="40" t="s">
        <v>44</v>
      </c>
      <c r="G29" s="146" t="s">
        <v>28</v>
      </c>
      <c r="H29" s="146"/>
      <c r="I29" s="146"/>
      <c r="J29" s="146"/>
      <c r="K29" s="146"/>
      <c r="L29" s="147"/>
      <c r="N29" s="93">
        <f>VLOOKUP(B29,Hoja1!$Q$1:$R$31,2,FALSE)</f>
        <v>0</v>
      </c>
      <c r="O29" s="90">
        <f t="shared" si="1"/>
        <v>0</v>
      </c>
      <c r="P29" s="90"/>
      <c r="Q29" s="55" t="s">
        <v>2</v>
      </c>
      <c r="R29" s="46">
        <v>0</v>
      </c>
    </row>
    <row r="30" spans="2:18" ht="15" customHeight="1" thickBot="1">
      <c r="B30" s="142" t="s">
        <v>2</v>
      </c>
      <c r="C30" s="143"/>
      <c r="D30" s="130">
        <v>0</v>
      </c>
      <c r="E30" s="131">
        <f t="shared" si="0"/>
        <v>0</v>
      </c>
      <c r="F30" s="127" t="s">
        <v>44</v>
      </c>
      <c r="G30" s="1" t="s">
        <v>61</v>
      </c>
      <c r="H30" s="6" t="s">
        <v>62</v>
      </c>
      <c r="I30" s="6" t="s">
        <v>63</v>
      </c>
      <c r="J30" s="6" t="s">
        <v>64</v>
      </c>
      <c r="K30" s="203" t="s">
        <v>46</v>
      </c>
      <c r="L30" s="204"/>
      <c r="N30" s="93">
        <f>VLOOKUP(B30,Hoja1!$Q$1:$R$31,2,FALSE)</f>
        <v>0</v>
      </c>
      <c r="O30" s="90">
        <f t="shared" si="1"/>
        <v>0</v>
      </c>
      <c r="P30" s="90"/>
      <c r="Q30" s="55" t="s">
        <v>2</v>
      </c>
      <c r="R30" s="46">
        <v>0</v>
      </c>
    </row>
    <row r="31" spans="2:16" ht="15" customHeight="1" thickBot="1">
      <c r="B31" s="197" t="s">
        <v>51</v>
      </c>
      <c r="C31" s="198"/>
      <c r="D31" s="124">
        <f>(259*E34-259000)*litrosmosto/Hoja1!F6/1000</f>
        <v>7.002876649734144</v>
      </c>
      <c r="E31" s="127" t="s">
        <v>44</v>
      </c>
      <c r="F31" s="272" t="s">
        <v>122</v>
      </c>
      <c r="G31" s="273"/>
      <c r="H31" s="102"/>
      <c r="I31" s="102"/>
      <c r="J31" s="102"/>
      <c r="K31" s="4" t="s">
        <v>48</v>
      </c>
      <c r="L31" s="5" t="s">
        <v>49</v>
      </c>
      <c r="O31" s="93">
        <f>SUM(O22:O30)</f>
        <v>1.4265119101310297</v>
      </c>
      <c r="P31" s="48"/>
    </row>
    <row r="32" spans="2:16" ht="15" customHeight="1">
      <c r="B32" s="190" t="s">
        <v>52</v>
      </c>
      <c r="C32" s="191"/>
      <c r="D32" s="192"/>
      <c r="E32" s="70" t="s">
        <v>77</v>
      </c>
      <c r="F32" s="193" t="s">
        <v>121</v>
      </c>
      <c r="G32" s="194"/>
      <c r="H32" s="102"/>
      <c r="I32" s="102"/>
      <c r="J32" s="102" t="s">
        <v>2</v>
      </c>
      <c r="K32" s="71"/>
      <c r="L32" s="72"/>
      <c r="O32" s="18"/>
      <c r="P32" s="48"/>
    </row>
    <row r="33" spans="2:18" ht="15" customHeight="1">
      <c r="B33" s="161" t="s">
        <v>53</v>
      </c>
      <c r="C33" s="162"/>
      <c r="D33" s="162"/>
      <c r="E33" s="5">
        <f>Hoja1!F3*0.9+(Hoja1!F3*O7)</f>
        <v>45</v>
      </c>
      <c r="F33" s="155" t="s">
        <v>48</v>
      </c>
      <c r="G33" s="156"/>
      <c r="H33" s="75"/>
      <c r="I33" s="74"/>
      <c r="J33" s="74"/>
      <c r="K33" s="274" t="s">
        <v>81</v>
      </c>
      <c r="L33" s="275"/>
      <c r="N33" s="157" t="s">
        <v>30</v>
      </c>
      <c r="O33" s="158"/>
      <c r="P33" s="158"/>
      <c r="Q33" s="158"/>
      <c r="R33" s="159"/>
    </row>
    <row r="34" spans="2:18" ht="15" customHeight="1" thickBot="1">
      <c r="B34" s="148" t="s">
        <v>54</v>
      </c>
      <c r="C34" s="149"/>
      <c r="D34" s="150"/>
      <c r="E34" s="9">
        <f>(O4*litrosfinales+1000*Evaphor*E41/60+1000*Hoja1!F3*O7)/litrosmosto</f>
        <v>1040.5</v>
      </c>
      <c r="F34" s="14" t="s">
        <v>49</v>
      </c>
      <c r="G34" s="14"/>
      <c r="H34" s="73"/>
      <c r="I34" s="73"/>
      <c r="J34" s="73"/>
      <c r="K34" s="42">
        <v>20</v>
      </c>
      <c r="L34" s="26" t="s">
        <v>11</v>
      </c>
      <c r="N34" s="161" t="s">
        <v>2</v>
      </c>
      <c r="O34" s="162"/>
      <c r="P34" s="163"/>
      <c r="Q34" s="12"/>
      <c r="R34" s="78" t="s">
        <v>0</v>
      </c>
    </row>
    <row r="35" spans="2:18" ht="15" customHeight="1" thickBot="1">
      <c r="B35" s="87" t="s">
        <v>92</v>
      </c>
      <c r="C35" s="101" t="s">
        <v>2</v>
      </c>
      <c r="D35" s="207" t="str">
        <f>IF(C35=" "," ","Los primeros")</f>
        <v> </v>
      </c>
      <c r="E35" s="208"/>
      <c r="F35" s="88" t="str">
        <f>IF(C35=" "," ",C35*Hoja1!F3)</f>
        <v> </v>
      </c>
      <c r="G35" s="61" t="str">
        <f>IF(C35=" "," ","litros de mosto se caramelizarán en olla aparte")</f>
        <v> </v>
      </c>
      <c r="H35" s="84"/>
      <c r="I35" s="84"/>
      <c r="J35" s="84"/>
      <c r="K35" s="85"/>
      <c r="L35" s="86"/>
      <c r="N35" s="161" t="s">
        <v>2</v>
      </c>
      <c r="O35" s="162"/>
      <c r="P35" s="163"/>
      <c r="Q35" s="12"/>
      <c r="R35" s="78" t="s">
        <v>0</v>
      </c>
    </row>
    <row r="36" spans="2:18" ht="15" customHeight="1" thickBot="1">
      <c r="B36" s="167" t="s">
        <v>83</v>
      </c>
      <c r="C36" s="246"/>
      <c r="D36" s="136" t="s">
        <v>82</v>
      </c>
      <c r="E36" s="136"/>
      <c r="F36" s="136"/>
      <c r="G36" s="136"/>
      <c r="H36" s="136"/>
      <c r="I36" s="136"/>
      <c r="J36" s="136"/>
      <c r="K36" s="136"/>
      <c r="L36" s="137"/>
      <c r="N36" s="148" t="s">
        <v>2</v>
      </c>
      <c r="O36" s="149"/>
      <c r="P36" s="150"/>
      <c r="Q36" s="37"/>
      <c r="R36" s="32" t="s">
        <v>0</v>
      </c>
    </row>
    <row r="37" spans="2:18" ht="15" customHeight="1">
      <c r="B37" s="175"/>
      <c r="C37" s="247"/>
      <c r="D37" s="183" t="s">
        <v>2</v>
      </c>
      <c r="E37" s="184"/>
      <c r="F37" s="184"/>
      <c r="G37" s="185"/>
      <c r="H37" s="185"/>
      <c r="I37" s="185"/>
      <c r="J37" s="185"/>
      <c r="K37" s="185"/>
      <c r="L37" s="186"/>
      <c r="N37" s="151" t="s">
        <v>32</v>
      </c>
      <c r="O37" s="152"/>
      <c r="P37" s="152"/>
      <c r="Q37" s="152"/>
      <c r="R37" s="153"/>
    </row>
    <row r="38" spans="2:18" ht="15" customHeight="1" thickBot="1">
      <c r="B38" s="77">
        <f>litrosmosto+D31*1.67-I22</f>
        <v>35.686174055853584</v>
      </c>
      <c r="C38" s="41" t="s">
        <v>36</v>
      </c>
      <c r="D38" s="187"/>
      <c r="E38" s="188"/>
      <c r="F38" s="188"/>
      <c r="G38" s="188"/>
      <c r="H38" s="188"/>
      <c r="I38" s="188"/>
      <c r="J38" s="188"/>
      <c r="K38" s="188"/>
      <c r="L38" s="189"/>
      <c r="N38" s="154" t="s">
        <v>2</v>
      </c>
      <c r="O38" s="155"/>
      <c r="P38" s="156"/>
      <c r="Q38" s="8"/>
      <c r="R38" s="7" t="s">
        <v>60</v>
      </c>
    </row>
    <row r="39" spans="2:18" ht="15" customHeight="1" thickBot="1">
      <c r="B39" s="50"/>
      <c r="C39" s="46"/>
      <c r="D39" s="46"/>
      <c r="E39" s="46"/>
      <c r="F39" s="46"/>
      <c r="G39" s="46"/>
      <c r="H39" s="46"/>
      <c r="I39" s="46"/>
      <c r="J39" s="46"/>
      <c r="K39" s="46"/>
      <c r="L39" s="51"/>
      <c r="N39" s="148" t="s">
        <v>2</v>
      </c>
      <c r="O39" s="149"/>
      <c r="P39" s="150"/>
      <c r="Q39" s="22"/>
      <c r="R39" s="52" t="s">
        <v>60</v>
      </c>
    </row>
    <row r="40" spans="2:16" ht="15" customHeight="1" thickBot="1">
      <c r="B40" s="135" t="s">
        <v>25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7"/>
      <c r="N40" s="113" t="s">
        <v>87</v>
      </c>
      <c r="O40" s="114"/>
      <c r="P40" s="115"/>
    </row>
    <row r="41" spans="2:16" ht="15" customHeight="1" thickBot="1">
      <c r="B41" s="199" t="s">
        <v>29</v>
      </c>
      <c r="C41" s="200"/>
      <c r="D41" s="139"/>
      <c r="E41" s="20">
        <v>90</v>
      </c>
      <c r="F41" s="209" t="s">
        <v>17</v>
      </c>
      <c r="G41" s="210"/>
      <c r="H41" s="151" t="s">
        <v>30</v>
      </c>
      <c r="I41" s="152"/>
      <c r="J41" s="152"/>
      <c r="K41" s="152"/>
      <c r="L41" s="153"/>
      <c r="N41" s="113" t="s">
        <v>88</v>
      </c>
      <c r="O41" s="114"/>
      <c r="P41" s="115"/>
    </row>
    <row r="42" spans="2:16" ht="15" customHeight="1">
      <c r="B42" s="211" t="s">
        <v>8</v>
      </c>
      <c r="C42" s="20" t="s">
        <v>7</v>
      </c>
      <c r="D42" s="181" t="s">
        <v>9</v>
      </c>
      <c r="E42" s="138" t="s">
        <v>5</v>
      </c>
      <c r="F42" s="139"/>
      <c r="G42" s="134" t="s">
        <v>31</v>
      </c>
      <c r="H42" s="179" t="str">
        <f>IF(Hoja1!N34=" "," ",Hoja1!N34)</f>
        <v> </v>
      </c>
      <c r="I42" s="179"/>
      <c r="J42" s="180"/>
      <c r="K42" s="104">
        <f>Hoja1!Q34*Hoja1!$O$5/100</f>
        <v>0</v>
      </c>
      <c r="L42" s="7" t="s">
        <v>31</v>
      </c>
      <c r="N42" s="116">
        <f>VLOOKUP(F18,O49:P50,2)</f>
        <v>1</v>
      </c>
      <c r="O42" s="115">
        <v>0</v>
      </c>
      <c r="P42" s="117">
        <v>0.06</v>
      </c>
    </row>
    <row r="43" spans="2:16" ht="15" customHeight="1">
      <c r="B43" s="212"/>
      <c r="C43" s="21" t="s">
        <v>12</v>
      </c>
      <c r="D43" s="182"/>
      <c r="E43" s="140"/>
      <c r="F43" s="141"/>
      <c r="G43" s="166"/>
      <c r="H43" s="179" t="str">
        <f>IF(Hoja1!N35=" "," ",Hoja1!N35)</f>
        <v> </v>
      </c>
      <c r="I43" s="179"/>
      <c r="J43" s="180"/>
      <c r="K43" s="104">
        <f>Hoja1!Q35*Hoja1!$O$5/100</f>
        <v>0</v>
      </c>
      <c r="L43" s="7" t="s">
        <v>31</v>
      </c>
      <c r="N43" s="118"/>
      <c r="O43" s="115">
        <v>10</v>
      </c>
      <c r="P43" s="117">
        <v>0.15</v>
      </c>
    </row>
    <row r="44" spans="2:16" ht="15" customHeight="1" thickBot="1">
      <c r="B44" s="212"/>
      <c r="C44" s="102">
        <v>60</v>
      </c>
      <c r="D44" s="102">
        <v>18</v>
      </c>
      <c r="E44" s="195" t="str">
        <f>IF(Hoja1!J5=" "," ",Hoja1!J5)</f>
        <v>Fuggles</v>
      </c>
      <c r="F44" s="196"/>
      <c r="G44" s="30">
        <f>litrosfinales*Hoja1!$N$42*O51/P51/Hoja1!N44/10</f>
        <v>54</v>
      </c>
      <c r="H44" s="201" t="str">
        <f>IF(Hoja1!N36=" "," ",Hoja1!N36)</f>
        <v> </v>
      </c>
      <c r="I44" s="201"/>
      <c r="J44" s="202"/>
      <c r="K44" s="105">
        <f>Hoja1!Q36*Hoja1!$O$5/100</f>
        <v>0</v>
      </c>
      <c r="L44" s="52" t="s">
        <v>31</v>
      </c>
      <c r="N44" s="119">
        <f>VLOOKUP(N51,$O$42:$P$48,2)</f>
        <v>0.3</v>
      </c>
      <c r="O44" s="115">
        <v>20</v>
      </c>
      <c r="P44" s="117">
        <v>0.19</v>
      </c>
    </row>
    <row r="45" spans="2:16" ht="15" customHeight="1">
      <c r="B45" s="212"/>
      <c r="C45" s="102">
        <v>20</v>
      </c>
      <c r="D45" s="102">
        <v>9</v>
      </c>
      <c r="E45" s="195" t="str">
        <f>IF(Hoja1!J6=" "," ",Hoja1!J6)</f>
        <v>Kent Golding</v>
      </c>
      <c r="F45" s="196"/>
      <c r="G45" s="30">
        <f>litrosfinales*Hoja1!$N$42*O52/P52/Hoja1!N45/10</f>
        <v>38.36842105263158</v>
      </c>
      <c r="H45" s="268" t="s">
        <v>32</v>
      </c>
      <c r="I45" s="152"/>
      <c r="J45" s="152"/>
      <c r="K45" s="152"/>
      <c r="L45" s="153"/>
      <c r="N45" s="119">
        <f>VLOOKUP(N52,$O$42:$P$48,2)</f>
        <v>0.19</v>
      </c>
      <c r="O45" s="115">
        <v>30</v>
      </c>
      <c r="P45" s="117">
        <v>0.24</v>
      </c>
    </row>
    <row r="46" spans="2:16" ht="15" customHeight="1">
      <c r="B46" s="212"/>
      <c r="C46" s="102">
        <v>3</v>
      </c>
      <c r="D46" s="102">
        <v>3</v>
      </c>
      <c r="E46" s="195" t="str">
        <f>IF(Hoja1!J7=" "," ",Hoja1!J7)</f>
        <v>Fuggles</v>
      </c>
      <c r="F46" s="196"/>
      <c r="G46" s="30">
        <f>litrosfinales*Hoja1!$N$42*O53/P53/Hoja1!N46/10</f>
        <v>45</v>
      </c>
      <c r="H46" s="179" t="str">
        <f>IF(Hoja1!N38=" "," ",Hoja1!N38)</f>
        <v> </v>
      </c>
      <c r="I46" s="179"/>
      <c r="J46" s="180"/>
      <c r="K46" s="106">
        <f>Hoja1!Q38*litrosfinales</f>
        <v>0</v>
      </c>
      <c r="L46" s="7" t="s">
        <v>31</v>
      </c>
      <c r="N46" s="119">
        <f>VLOOKUP(N53,$O$42:$P$48,2)</f>
        <v>0.06</v>
      </c>
      <c r="O46" s="115">
        <v>45</v>
      </c>
      <c r="P46" s="117">
        <v>0.27</v>
      </c>
    </row>
    <row r="47" spans="2:16" ht="15" customHeight="1" thickBot="1">
      <c r="B47" s="213"/>
      <c r="C47" s="103" t="s">
        <v>2</v>
      </c>
      <c r="D47" s="103"/>
      <c r="E47" s="214" t="str">
        <f>IF(Hoja1!J8=" "," ",Hoja1!J8)</f>
        <v> </v>
      </c>
      <c r="F47" s="215"/>
      <c r="G47" s="38">
        <f>litrosfinales*Hoja1!$N$42*O54/P54/Hoja1!N47/10</f>
        <v>0</v>
      </c>
      <c r="H47" s="266" t="str">
        <f>IF(Hoja1!N39=" "," ",Hoja1!N39)</f>
        <v> </v>
      </c>
      <c r="I47" s="266"/>
      <c r="J47" s="267"/>
      <c r="K47" s="107">
        <f>Hoja1!Q39*litrosfinales</f>
        <v>0</v>
      </c>
      <c r="L47" s="53" t="s">
        <v>31</v>
      </c>
      <c r="M47" s="54"/>
      <c r="N47" s="119">
        <f>VLOOKUP(N54,$O$42:$P$48,2)</f>
        <v>0.06</v>
      </c>
      <c r="O47" s="115">
        <v>60</v>
      </c>
      <c r="P47" s="117">
        <v>0.3</v>
      </c>
    </row>
    <row r="48" spans="1:16" ht="15" customHeight="1">
      <c r="A48" s="55"/>
      <c r="B48" s="175" t="s">
        <v>39</v>
      </c>
      <c r="C48" s="247"/>
      <c r="D48" s="264" t="s">
        <v>34</v>
      </c>
      <c r="E48" s="252" t="s">
        <v>2</v>
      </c>
      <c r="F48" s="253"/>
      <c r="G48" s="253"/>
      <c r="H48" s="253"/>
      <c r="I48" s="253"/>
      <c r="J48" s="253"/>
      <c r="K48" s="253"/>
      <c r="L48" s="254"/>
      <c r="N48" s="113"/>
      <c r="O48" s="115">
        <v>75</v>
      </c>
      <c r="P48" s="117">
        <v>0.34</v>
      </c>
    </row>
    <row r="49" spans="1:16" ht="15" customHeight="1">
      <c r="A49" s="55"/>
      <c r="B49" s="169"/>
      <c r="C49" s="263"/>
      <c r="D49" s="264"/>
      <c r="E49" s="255"/>
      <c r="F49" s="256"/>
      <c r="G49" s="256"/>
      <c r="H49" s="256"/>
      <c r="I49" s="256"/>
      <c r="J49" s="256"/>
      <c r="K49" s="256"/>
      <c r="L49" s="257"/>
      <c r="N49" s="113"/>
      <c r="O49" s="115">
        <v>1010</v>
      </c>
      <c r="P49" s="115">
        <v>1</v>
      </c>
    </row>
    <row r="50" spans="1:16" ht="15" customHeight="1">
      <c r="A50" s="55"/>
      <c r="B50" s="23" t="s">
        <v>5</v>
      </c>
      <c r="C50" s="7" t="s">
        <v>69</v>
      </c>
      <c r="D50" s="264"/>
      <c r="E50" s="255"/>
      <c r="F50" s="256"/>
      <c r="G50" s="256"/>
      <c r="H50" s="256"/>
      <c r="I50" s="256"/>
      <c r="J50" s="256"/>
      <c r="K50" s="256"/>
      <c r="L50" s="257"/>
      <c r="N50" s="113"/>
      <c r="O50" s="115">
        <v>1050</v>
      </c>
      <c r="P50" s="118">
        <f>1+(F18/1000-1.05)/0.2</f>
        <v>0.9749999999999994</v>
      </c>
    </row>
    <row r="51" spans="1:16" ht="15" customHeight="1">
      <c r="A51" s="55"/>
      <c r="B51" s="250" t="s">
        <v>33</v>
      </c>
      <c r="C51" s="251"/>
      <c r="D51" s="264"/>
      <c r="E51" s="255"/>
      <c r="F51" s="256"/>
      <c r="G51" s="256"/>
      <c r="H51" s="256"/>
      <c r="I51" s="256"/>
      <c r="J51" s="256"/>
      <c r="K51" s="256"/>
      <c r="L51" s="257"/>
      <c r="N51" s="55">
        <f aca="true" t="shared" si="2" ref="N51:O54">IF(C44=" ",0,C44)</f>
        <v>60</v>
      </c>
      <c r="O51" s="55">
        <f t="shared" si="2"/>
        <v>18</v>
      </c>
      <c r="P51" s="55">
        <f>IF(Hoja1!L5=" ",1,Hoja1!L5)</f>
        <v>4.5</v>
      </c>
    </row>
    <row r="52" spans="1:16" ht="15" customHeight="1" thickBot="1">
      <c r="A52" s="55"/>
      <c r="B52" s="76">
        <v>15</v>
      </c>
      <c r="C52" s="24" t="s">
        <v>17</v>
      </c>
      <c r="D52" s="265"/>
      <c r="E52" s="258"/>
      <c r="F52" s="259"/>
      <c r="G52" s="259"/>
      <c r="H52" s="259"/>
      <c r="I52" s="259"/>
      <c r="J52" s="259"/>
      <c r="K52" s="259"/>
      <c r="L52" s="260"/>
      <c r="M52" s="56"/>
      <c r="N52" s="55">
        <f t="shared" si="2"/>
        <v>20</v>
      </c>
      <c r="O52" s="55">
        <f t="shared" si="2"/>
        <v>9</v>
      </c>
      <c r="P52" s="55">
        <f>IF(Hoja1!L6=" ",1,Hoja1!L6)</f>
        <v>5</v>
      </c>
    </row>
    <row r="53" spans="1:16" ht="15" customHeight="1" thickBot="1">
      <c r="A53" s="55"/>
      <c r="B53" s="27"/>
      <c r="C53" s="16"/>
      <c r="D53" s="57"/>
      <c r="E53" s="58"/>
      <c r="F53" s="58"/>
      <c r="G53" s="58"/>
      <c r="H53" s="58"/>
      <c r="I53" s="58"/>
      <c r="J53" s="58"/>
      <c r="K53" s="58"/>
      <c r="L53" s="59"/>
      <c r="M53" s="56"/>
      <c r="N53" s="55">
        <f t="shared" si="2"/>
        <v>3</v>
      </c>
      <c r="O53" s="55">
        <f t="shared" si="2"/>
        <v>3</v>
      </c>
      <c r="P53" s="55">
        <f>IF(Hoja1!L7=" ",1,Hoja1!L7)</f>
        <v>4.5</v>
      </c>
    </row>
    <row r="54" spans="1:16" ht="15" customHeight="1" thickBot="1">
      <c r="A54" s="55"/>
      <c r="B54" s="135" t="s">
        <v>93</v>
      </c>
      <c r="C54" s="136"/>
      <c r="D54" s="136"/>
      <c r="E54" s="136"/>
      <c r="F54" s="248" t="s">
        <v>125</v>
      </c>
      <c r="G54" s="249"/>
      <c r="H54" s="249"/>
      <c r="I54" s="249"/>
      <c r="J54" s="261" t="s">
        <v>94</v>
      </c>
      <c r="K54" s="262"/>
      <c r="L54" s="108" t="s">
        <v>124</v>
      </c>
      <c r="M54" s="56"/>
      <c r="N54" s="55">
        <f t="shared" si="2"/>
        <v>0</v>
      </c>
      <c r="O54" s="55">
        <f t="shared" si="2"/>
        <v>0</v>
      </c>
      <c r="P54" s="55">
        <f>IF(Hoja1!L8=" ",1,Hoja1!L8)</f>
        <v>1</v>
      </c>
    </row>
    <row r="55" spans="1:16" ht="15" customHeight="1" thickBot="1">
      <c r="A55" s="55"/>
      <c r="B55" s="29"/>
      <c r="C55" s="39"/>
      <c r="D55" s="60"/>
      <c r="E55" s="60"/>
      <c r="F55" s="60"/>
      <c r="G55" s="39"/>
      <c r="H55" s="61"/>
      <c r="I55" s="61"/>
      <c r="J55" s="62"/>
      <c r="K55" s="39"/>
      <c r="L55" s="63"/>
      <c r="M55" s="56"/>
      <c r="P55" s="48"/>
    </row>
    <row r="56" spans="1:16" ht="15" customHeight="1">
      <c r="A56" s="5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48"/>
    </row>
    <row r="57" spans="1:16" ht="15" customHeight="1">
      <c r="A57" s="55"/>
      <c r="B57" s="2"/>
      <c r="C57" s="2"/>
      <c r="D57" s="64"/>
      <c r="E57" s="64"/>
      <c r="F57" s="64"/>
      <c r="G57" s="2"/>
      <c r="H57" s="16"/>
      <c r="I57" s="16"/>
      <c r="J57" s="28"/>
      <c r="K57" s="2"/>
      <c r="L57" s="2"/>
      <c r="P57" s="16"/>
    </row>
    <row r="58" spans="1:12" ht="15" customHeight="1">
      <c r="A58" s="55"/>
      <c r="B58" s="2"/>
      <c r="C58" s="2"/>
      <c r="D58" s="64"/>
      <c r="E58" s="64"/>
      <c r="F58" s="64"/>
      <c r="G58" s="2"/>
      <c r="H58" s="16"/>
      <c r="I58" s="16"/>
      <c r="J58" s="28"/>
      <c r="K58" s="2"/>
      <c r="L58" s="2"/>
    </row>
    <row r="59" spans="1:12" ht="15" customHeight="1">
      <c r="A59" s="55"/>
      <c r="B59" s="2"/>
      <c r="C59" s="2"/>
      <c r="D59" s="65"/>
      <c r="E59" s="65"/>
      <c r="F59" s="65"/>
      <c r="G59" s="2"/>
      <c r="H59" s="16"/>
      <c r="I59" s="16"/>
      <c r="J59" s="28"/>
      <c r="K59" s="2"/>
      <c r="L59" s="2"/>
    </row>
    <row r="60" spans="1:12" ht="15" customHeight="1">
      <c r="A60" s="55"/>
      <c r="B60" s="2"/>
      <c r="C60" s="2"/>
      <c r="D60" s="65"/>
      <c r="E60" s="65"/>
      <c r="F60" s="65"/>
      <c r="G60" s="2"/>
      <c r="H60" s="16"/>
      <c r="I60" s="16"/>
      <c r="J60" s="28"/>
      <c r="K60" s="2"/>
      <c r="L60" s="2"/>
    </row>
    <row r="61" spans="1:12" ht="15" customHeight="1">
      <c r="A61" s="55"/>
      <c r="B61" s="2"/>
      <c r="C61" s="2"/>
      <c r="D61" s="65"/>
      <c r="E61" s="65"/>
      <c r="F61" s="65"/>
      <c r="G61" s="2"/>
      <c r="H61" s="16"/>
      <c r="I61" s="16"/>
      <c r="J61" s="28"/>
      <c r="K61" s="2"/>
      <c r="L61" s="2"/>
    </row>
    <row r="62" spans="1:12" ht="15" customHeight="1">
      <c r="A62" s="55"/>
      <c r="B62" s="2"/>
      <c r="C62" s="2"/>
      <c r="D62" s="65"/>
      <c r="E62" s="65"/>
      <c r="F62" s="65"/>
      <c r="G62" s="2"/>
      <c r="H62" s="16"/>
      <c r="I62" s="16"/>
      <c r="J62" s="28"/>
      <c r="K62" s="2"/>
      <c r="L62" s="2"/>
    </row>
    <row r="63" spans="1:12" ht="15" customHeight="1">
      <c r="A63" s="55"/>
      <c r="B63" s="2"/>
      <c r="C63" s="2"/>
      <c r="D63" s="65"/>
      <c r="E63" s="65"/>
      <c r="F63" s="65"/>
      <c r="G63" s="2"/>
      <c r="H63" s="16"/>
      <c r="I63" s="16"/>
      <c r="J63" s="28"/>
      <c r="K63" s="2"/>
      <c r="L63" s="2"/>
    </row>
    <row r="64" spans="1:12" ht="15" customHeight="1">
      <c r="A64" s="55"/>
      <c r="B64" s="2"/>
      <c r="C64" s="2"/>
      <c r="D64" s="65"/>
      <c r="E64" s="65"/>
      <c r="F64" s="65"/>
      <c r="G64" s="2"/>
      <c r="H64" s="16"/>
      <c r="I64" s="16"/>
      <c r="J64" s="28"/>
      <c r="K64" s="2"/>
      <c r="L64" s="2"/>
    </row>
    <row r="65" spans="1:12" ht="15" customHeight="1">
      <c r="A65" s="55"/>
      <c r="B65" s="2"/>
      <c r="C65" s="2"/>
      <c r="D65" s="65"/>
      <c r="E65" s="65"/>
      <c r="F65" s="65"/>
      <c r="G65" s="2"/>
      <c r="H65" s="16"/>
      <c r="I65" s="16"/>
      <c r="J65" s="28"/>
      <c r="K65" s="2"/>
      <c r="L65" s="2"/>
    </row>
    <row r="66" spans="1:12" ht="15" customHeight="1">
      <c r="A66" s="55"/>
      <c r="B66" s="2"/>
      <c r="C66" s="2"/>
      <c r="D66" s="65"/>
      <c r="E66" s="65"/>
      <c r="F66" s="65"/>
      <c r="G66" s="2"/>
      <c r="H66" s="16"/>
      <c r="I66" s="16"/>
      <c r="J66" s="28"/>
      <c r="K66" s="2"/>
      <c r="L66" s="2"/>
    </row>
    <row r="67" spans="1:12" ht="15" customHeight="1">
      <c r="A67" s="55"/>
      <c r="B67" s="2"/>
      <c r="C67" s="2"/>
      <c r="D67" s="16"/>
      <c r="E67" s="16"/>
      <c r="F67" s="16"/>
      <c r="G67" s="2"/>
      <c r="H67" s="16"/>
      <c r="I67" s="16"/>
      <c r="J67" s="28"/>
      <c r="K67" s="2"/>
      <c r="L67" s="2"/>
    </row>
    <row r="68" spans="1:12" ht="15" customHeight="1">
      <c r="A68" s="5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 customHeight="1">
      <c r="A69" s="5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 customHeight="1">
      <c r="A70" s="5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 customHeight="1">
      <c r="A71" s="5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 customHeight="1">
      <c r="A72" s="5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 customHeight="1">
      <c r="A73" s="5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 customHeight="1">
      <c r="A74" s="5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6" ht="15" customHeight="1">
      <c r="A75" s="5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"/>
    </row>
    <row r="76" spans="1:16" ht="15" customHeight="1">
      <c r="A76" s="5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"/>
    </row>
    <row r="77" spans="1:16" ht="15" customHeight="1">
      <c r="A77" s="5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"/>
    </row>
    <row r="78" spans="1:16" ht="15" customHeight="1">
      <c r="A78" s="5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"/>
    </row>
    <row r="79" spans="1:16" ht="15" customHeight="1">
      <c r="A79" s="5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"/>
    </row>
    <row r="80" spans="8:16" ht="15" customHeight="1">
      <c r="H80" s="2"/>
      <c r="I80" s="2"/>
      <c r="J80" s="2"/>
      <c r="P80" s="3"/>
    </row>
    <row r="81" spans="8:16" ht="15" customHeight="1">
      <c r="H81" s="2"/>
      <c r="I81" s="2"/>
      <c r="J81" s="2"/>
      <c r="P81" s="3"/>
    </row>
    <row r="82" spans="8:10" ht="15" customHeight="1">
      <c r="H82" s="2"/>
      <c r="I82" s="2"/>
      <c r="J82" s="2"/>
    </row>
    <row r="83" ht="15" customHeight="1">
      <c r="P83" s="66"/>
    </row>
    <row r="84" ht="15" customHeight="1">
      <c r="P84" s="67"/>
    </row>
    <row r="85" ht="15" customHeight="1">
      <c r="P85" s="67"/>
    </row>
    <row r="86" ht="15" customHeight="1">
      <c r="P86" s="67"/>
    </row>
    <row r="87" ht="15" customHeight="1"/>
    <row r="88" ht="15" customHeight="1"/>
    <row r="89" ht="15" customHeight="1"/>
    <row r="90" ht="15" customHeight="1"/>
  </sheetData>
  <mergeCells count="106">
    <mergeCell ref="G21:L21"/>
    <mergeCell ref="F31:G31"/>
    <mergeCell ref="B22:C22"/>
    <mergeCell ref="B40:L40"/>
    <mergeCell ref="K33:L33"/>
    <mergeCell ref="G23:H23"/>
    <mergeCell ref="K23:L23"/>
    <mergeCell ref="G25:L25"/>
    <mergeCell ref="K26:L26"/>
    <mergeCell ref="G29:L29"/>
    <mergeCell ref="B36:C37"/>
    <mergeCell ref="B54:E54"/>
    <mergeCell ref="F54:I54"/>
    <mergeCell ref="B51:C51"/>
    <mergeCell ref="E48:L52"/>
    <mergeCell ref="J54:K54"/>
    <mergeCell ref="B48:C49"/>
    <mergeCell ref="D48:D52"/>
    <mergeCell ref="H47:J47"/>
    <mergeCell ref="H45:L45"/>
    <mergeCell ref="B14:C15"/>
    <mergeCell ref="D14:F14"/>
    <mergeCell ref="G14:I14"/>
    <mergeCell ref="D17:E17"/>
    <mergeCell ref="F17:G17"/>
    <mergeCell ref="B10:L10"/>
    <mergeCell ref="D18:E18"/>
    <mergeCell ref="C12:F12"/>
    <mergeCell ref="I12:L12"/>
    <mergeCell ref="B18:C18"/>
    <mergeCell ref="B17:C17"/>
    <mergeCell ref="H17:I17"/>
    <mergeCell ref="J17:K17"/>
    <mergeCell ref="J14:L14"/>
    <mergeCell ref="D15:F15"/>
    <mergeCell ref="G12:H12"/>
    <mergeCell ref="G15:I15"/>
    <mergeCell ref="J15:L15"/>
    <mergeCell ref="G22:H22"/>
    <mergeCell ref="J22:K22"/>
    <mergeCell ref="F18:G18"/>
    <mergeCell ref="H18:I18"/>
    <mergeCell ref="B20:L20"/>
    <mergeCell ref="B21:C21"/>
    <mergeCell ref="J18:K18"/>
    <mergeCell ref="K30:L30"/>
    <mergeCell ref="G24:H24"/>
    <mergeCell ref="E46:F46"/>
    <mergeCell ref="D35:E35"/>
    <mergeCell ref="B33:D33"/>
    <mergeCell ref="B34:D34"/>
    <mergeCell ref="F41:G41"/>
    <mergeCell ref="G42:G43"/>
    <mergeCell ref="B42:B47"/>
    <mergeCell ref="E47:F47"/>
    <mergeCell ref="B32:D32"/>
    <mergeCell ref="G27:I27"/>
    <mergeCell ref="H46:J46"/>
    <mergeCell ref="E44:F44"/>
    <mergeCell ref="E45:F45"/>
    <mergeCell ref="B31:C31"/>
    <mergeCell ref="B27:C27"/>
    <mergeCell ref="F32:G32"/>
    <mergeCell ref="B41:D41"/>
    <mergeCell ref="H44:J44"/>
    <mergeCell ref="D36:L36"/>
    <mergeCell ref="H41:L41"/>
    <mergeCell ref="H42:J42"/>
    <mergeCell ref="H43:J43"/>
    <mergeCell ref="D42:D43"/>
    <mergeCell ref="E42:F43"/>
    <mergeCell ref="D37:L38"/>
    <mergeCell ref="B6:E6"/>
    <mergeCell ref="B8:E8"/>
    <mergeCell ref="J8:K8"/>
    <mergeCell ref="J5:K5"/>
    <mergeCell ref="J6:K6"/>
    <mergeCell ref="J7:K7"/>
    <mergeCell ref="H5:I5"/>
    <mergeCell ref="H6:I6"/>
    <mergeCell ref="H7:I7"/>
    <mergeCell ref="H8:I8"/>
    <mergeCell ref="B5:E5"/>
    <mergeCell ref="J3:K4"/>
    <mergeCell ref="B1:L1"/>
    <mergeCell ref="B3:D3"/>
    <mergeCell ref="B4:D4"/>
    <mergeCell ref="L3:L4"/>
    <mergeCell ref="H3:I4"/>
    <mergeCell ref="B23:C23"/>
    <mergeCell ref="B28:C28"/>
    <mergeCell ref="B29:C29"/>
    <mergeCell ref="B30:C30"/>
    <mergeCell ref="B24:C24"/>
    <mergeCell ref="B25:C25"/>
    <mergeCell ref="B26:C26"/>
    <mergeCell ref="E21:F21"/>
    <mergeCell ref="N39:P39"/>
    <mergeCell ref="N37:R37"/>
    <mergeCell ref="N38:P38"/>
    <mergeCell ref="N33:R33"/>
    <mergeCell ref="N21:O21"/>
    <mergeCell ref="N34:P34"/>
    <mergeCell ref="N35:P35"/>
    <mergeCell ref="N36:P36"/>
    <mergeCell ref="F33:G33"/>
  </mergeCells>
  <dataValidations count="4">
    <dataValidation showInputMessage="1" showErrorMessage="1" sqref="L5:L8"/>
    <dataValidation type="list" allowBlank="1" showInputMessage="1" showErrorMessage="1" sqref="B23:C30">
      <formula1>$Q$1:$Q$22</formula1>
    </dataValidation>
    <dataValidation type="list" allowBlank="1" showInputMessage="1" showErrorMessage="1" sqref="B22:C22">
      <formula1>$Q$1:$Q$31</formula1>
    </dataValidation>
    <dataValidation type="list" showInputMessage="1" showErrorMessage="1" sqref="J5:K8">
      <formula1>$N$10:$N$20</formula1>
    </dataValidation>
  </dataValidations>
  <printOptions horizontalCentered="1" verticalCentered="1"/>
  <pageMargins left="0.75" right="0.75" top="1" bottom="1" header="0" footer="0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Vogrig</dc:creator>
  <cp:keywords/>
  <dc:description/>
  <cp:lastModifiedBy>Walter</cp:lastModifiedBy>
  <cp:lastPrinted>2005-10-04T13:44:21Z</cp:lastPrinted>
  <dcterms:created xsi:type="dcterms:W3CDTF">2005-09-14T08:18:39Z</dcterms:created>
  <dcterms:modified xsi:type="dcterms:W3CDTF">2006-10-26T18:59:56Z</dcterms:modified>
  <cp:category/>
  <cp:version/>
  <cp:contentType/>
  <cp:contentStatus/>
</cp:coreProperties>
</file>